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ren\Desktop\"/>
    </mc:Choice>
  </mc:AlternateContent>
  <xr:revisionPtr revIDLastSave="0" documentId="13_ncr:1_{D9CDF6C3-6592-4B48-B7F5-2221BF2B3008}" xr6:coauthVersionLast="47" xr6:coauthVersionMax="47" xr10:uidLastSave="{00000000-0000-0000-0000-000000000000}"/>
  <bookViews>
    <workbookView xWindow="28680" yWindow="-120" windowWidth="29040" windowHeight="15720" firstSheet="5" activeTab="5" xr2:uid="{00000000-000D-0000-FFFF-FFFF00000000}"/>
  </bookViews>
  <sheets>
    <sheet name="2015 Dues Schedule" sheetId="4" r:id="rId1"/>
    <sheet name="Projected 2016 Dues Schedule" sheetId="7" r:id="rId2"/>
    <sheet name="2014 Dues Schedule" sheetId="6" r:id="rId3"/>
    <sheet name="2013 Dues Schedule" sheetId="1" r:id="rId4"/>
    <sheet name="Affiliate" sheetId="5" r:id="rId5"/>
    <sheet name="2023" sheetId="8" r:id="rId6"/>
    <sheet name="Sheet1" sheetId="9" r:id="rId7"/>
    <sheet name="Sheet2" sheetId="10" r:id="rId8"/>
  </sheets>
  <definedNames>
    <definedName name="_xlnm.Print_Area" localSheetId="3">'2013 Dues Schedule'!$A$2:$M$52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8" l="1"/>
  <c r="B23" i="8" s="1"/>
  <c r="M20" i="8"/>
  <c r="L20" i="8"/>
  <c r="K20" i="8"/>
  <c r="J20" i="8"/>
  <c r="I20" i="8"/>
  <c r="H20" i="8"/>
  <c r="G20" i="8"/>
  <c r="F20" i="8"/>
  <c r="E20" i="8"/>
  <c r="D20" i="8"/>
  <c r="C20" i="8"/>
  <c r="C21" i="8" s="1"/>
  <c r="M18" i="8"/>
  <c r="L18" i="8"/>
  <c r="K18" i="8"/>
  <c r="J18" i="8"/>
  <c r="I18" i="8"/>
  <c r="H18" i="8"/>
  <c r="G18" i="8"/>
  <c r="F18" i="8"/>
  <c r="E18" i="8"/>
  <c r="D18" i="8"/>
  <c r="B11" i="8"/>
  <c r="M10" i="8"/>
  <c r="M11" i="8" s="1"/>
  <c r="L10" i="8"/>
  <c r="L11" i="8" s="1"/>
  <c r="K10" i="8"/>
  <c r="K11" i="8" s="1"/>
  <c r="J10" i="8"/>
  <c r="J11" i="8" s="1"/>
  <c r="I10" i="8"/>
  <c r="I11" i="8" s="1"/>
  <c r="H10" i="8"/>
  <c r="H11" i="8" s="1"/>
  <c r="G10" i="8"/>
  <c r="G11" i="8" s="1"/>
  <c r="F10" i="8"/>
  <c r="F11" i="8" s="1"/>
  <c r="E10" i="8"/>
  <c r="E11" i="8" s="1"/>
  <c r="D10" i="8"/>
  <c r="D11" i="8" s="1"/>
  <c r="C10" i="8"/>
  <c r="C11" i="8" s="1"/>
  <c r="M21" i="8" l="1"/>
  <c r="M23" i="8" s="1"/>
  <c r="I21" i="8"/>
  <c r="I23" i="8" s="1"/>
  <c r="E21" i="8"/>
  <c r="E23" i="8" s="1"/>
  <c r="F21" i="8"/>
  <c r="F23" i="8" s="1"/>
  <c r="C23" i="8"/>
  <c r="G21" i="8"/>
  <c r="G23" i="8" s="1"/>
  <c r="K21" i="8"/>
  <c r="K23" i="8" s="1"/>
  <c r="J21" i="8"/>
  <c r="J23" i="8" s="1"/>
  <c r="D21" i="8"/>
  <c r="D23" i="8" s="1"/>
  <c r="H21" i="8"/>
  <c r="H23" i="8" s="1"/>
  <c r="L21" i="8"/>
  <c r="L23" i="8" s="1"/>
  <c r="E34" i="7"/>
  <c r="D34" i="7"/>
  <c r="M33" i="7"/>
  <c r="L33" i="7"/>
  <c r="K33" i="7"/>
  <c r="J33" i="7"/>
  <c r="I33" i="7"/>
  <c r="H33" i="7"/>
  <c r="G33" i="7"/>
  <c r="F33" i="7"/>
  <c r="E33" i="7"/>
  <c r="D33" i="7"/>
  <c r="C33" i="7"/>
  <c r="M26" i="7"/>
  <c r="B19" i="7"/>
  <c r="B21" i="7" s="1"/>
  <c r="M18" i="7"/>
  <c r="M19" i="7" s="1"/>
  <c r="M21" i="7" s="1"/>
  <c r="L18" i="7"/>
  <c r="K18" i="7"/>
  <c r="J18" i="7"/>
  <c r="I18" i="7"/>
  <c r="H18" i="7"/>
  <c r="G18" i="7"/>
  <c r="F18" i="7"/>
  <c r="E18" i="7"/>
  <c r="E19" i="7" s="1"/>
  <c r="E21" i="7" s="1"/>
  <c r="D18" i="7"/>
  <c r="C18" i="7"/>
  <c r="M16" i="7"/>
  <c r="L16" i="7"/>
  <c r="K16" i="7"/>
  <c r="J16" i="7"/>
  <c r="I16" i="7"/>
  <c r="H16" i="7"/>
  <c r="G16" i="7"/>
  <c r="F16" i="7"/>
  <c r="E16" i="7"/>
  <c r="D16" i="7"/>
  <c r="C16" i="7"/>
  <c r="C19" i="7" s="1"/>
  <c r="C21" i="7" s="1"/>
  <c r="B10" i="7"/>
  <c r="M9" i="7"/>
  <c r="M10" i="7" s="1"/>
  <c r="L9" i="7"/>
  <c r="L10" i="7" s="1"/>
  <c r="K9" i="7"/>
  <c r="K10" i="7" s="1"/>
  <c r="J9" i="7"/>
  <c r="J10" i="7" s="1"/>
  <c r="I9" i="7"/>
  <c r="I10" i="7" s="1"/>
  <c r="H9" i="7"/>
  <c r="H10" i="7" s="1"/>
  <c r="G9" i="7"/>
  <c r="G10" i="7" s="1"/>
  <c r="F9" i="7"/>
  <c r="F10" i="7" s="1"/>
  <c r="E9" i="7"/>
  <c r="E10" i="7" s="1"/>
  <c r="D9" i="7"/>
  <c r="D10" i="7" s="1"/>
  <c r="C9" i="7"/>
  <c r="C10" i="7" s="1"/>
  <c r="K19" i="7" l="1"/>
  <c r="K21" i="7" s="1"/>
  <c r="G19" i="7"/>
  <c r="G21" i="7" s="1"/>
  <c r="I19" i="7"/>
  <c r="I21" i="7" s="1"/>
  <c r="F19" i="7"/>
  <c r="F21" i="7" s="1"/>
  <c r="J19" i="7"/>
  <c r="J21" i="7" s="1"/>
  <c r="D19" i="7"/>
  <c r="D21" i="7" s="1"/>
  <c r="H19" i="7"/>
  <c r="H21" i="7" s="1"/>
  <c r="L19" i="7"/>
  <c r="L21" i="7" s="1"/>
  <c r="M38" i="4" l="1"/>
  <c r="L38" i="4"/>
  <c r="K38" i="4"/>
  <c r="J38" i="4"/>
  <c r="I38" i="4"/>
  <c r="H38" i="4"/>
  <c r="G38" i="4"/>
  <c r="F38" i="4"/>
  <c r="E38" i="4"/>
  <c r="D38" i="4"/>
  <c r="C38" i="4"/>
  <c r="E30" i="6"/>
  <c r="D30" i="6"/>
  <c r="C30" i="6"/>
  <c r="M29" i="6"/>
  <c r="L29" i="6"/>
  <c r="K29" i="6"/>
  <c r="J29" i="6"/>
  <c r="I29" i="6"/>
  <c r="H29" i="6"/>
  <c r="G29" i="6"/>
  <c r="F29" i="6"/>
  <c r="E29" i="6"/>
  <c r="D29" i="6"/>
  <c r="C29" i="6"/>
  <c r="M26" i="6"/>
  <c r="L26" i="6"/>
  <c r="K26" i="6"/>
  <c r="J26" i="6"/>
  <c r="I26" i="6"/>
  <c r="H26" i="6"/>
  <c r="G26" i="6"/>
  <c r="F26" i="6"/>
  <c r="E26" i="6"/>
  <c r="D26" i="6"/>
  <c r="C26" i="6"/>
  <c r="B19" i="6"/>
  <c r="B21" i="6" s="1"/>
  <c r="M18" i="6"/>
  <c r="L18" i="6"/>
  <c r="K18" i="6"/>
  <c r="J18" i="6"/>
  <c r="I18" i="6"/>
  <c r="H18" i="6"/>
  <c r="G18" i="6"/>
  <c r="F18" i="6"/>
  <c r="E18" i="6"/>
  <c r="D18" i="6"/>
  <c r="C18" i="6"/>
  <c r="M16" i="6"/>
  <c r="L16" i="6"/>
  <c r="K16" i="6"/>
  <c r="J16" i="6"/>
  <c r="I16" i="6"/>
  <c r="H16" i="6"/>
  <c r="G16" i="6"/>
  <c r="F16" i="6"/>
  <c r="E16" i="6"/>
  <c r="D16" i="6"/>
  <c r="C16" i="6"/>
  <c r="M15" i="6"/>
  <c r="L15" i="6"/>
  <c r="K15" i="6"/>
  <c r="J15" i="6"/>
  <c r="I15" i="6"/>
  <c r="H15" i="6"/>
  <c r="G15" i="6"/>
  <c r="F15" i="6"/>
  <c r="E15" i="6"/>
  <c r="D15" i="6"/>
  <c r="C15" i="6"/>
  <c r="B10" i="6"/>
  <c r="M9" i="6"/>
  <c r="L9" i="6"/>
  <c r="K9" i="6"/>
  <c r="J9" i="6"/>
  <c r="I9" i="6"/>
  <c r="H9" i="6"/>
  <c r="G9" i="6"/>
  <c r="F9" i="6"/>
  <c r="E9" i="6"/>
  <c r="D9" i="6"/>
  <c r="C9" i="6"/>
  <c r="M6" i="6"/>
  <c r="L6" i="6"/>
  <c r="K6" i="6"/>
  <c r="J6" i="6"/>
  <c r="I6" i="6"/>
  <c r="H6" i="6"/>
  <c r="G6" i="6"/>
  <c r="F6" i="6"/>
  <c r="E6" i="6"/>
  <c r="D6" i="6"/>
  <c r="C6" i="6"/>
  <c r="C10" i="6" l="1"/>
  <c r="G10" i="6"/>
  <c r="K10" i="6"/>
  <c r="F10" i="6"/>
  <c r="D19" i="6"/>
  <c r="D21" i="6" s="1"/>
  <c r="H19" i="6"/>
  <c r="H21" i="6" s="1"/>
  <c r="L19" i="6"/>
  <c r="L21" i="6" s="1"/>
  <c r="J10" i="6"/>
  <c r="E10" i="6"/>
  <c r="I10" i="6"/>
  <c r="M10" i="6"/>
  <c r="E19" i="6"/>
  <c r="E21" i="6" s="1"/>
  <c r="I19" i="6"/>
  <c r="I21" i="6" s="1"/>
  <c r="M19" i="6"/>
  <c r="M21" i="6" s="1"/>
  <c r="C19" i="6"/>
  <c r="C21" i="6" s="1"/>
  <c r="G19" i="6"/>
  <c r="G21" i="6" s="1"/>
  <c r="K19" i="6"/>
  <c r="K21" i="6" s="1"/>
  <c r="F19" i="6"/>
  <c r="F21" i="6" s="1"/>
  <c r="J19" i="6"/>
  <c r="J21" i="6" s="1"/>
  <c r="D10" i="6"/>
  <c r="H10" i="6"/>
  <c r="L10" i="6"/>
  <c r="B10" i="4"/>
  <c r="M18" i="4" l="1"/>
  <c r="L18" i="4"/>
  <c r="K18" i="4"/>
  <c r="J18" i="4"/>
  <c r="I18" i="4"/>
  <c r="H18" i="4"/>
  <c r="G18" i="4"/>
  <c r="F18" i="4"/>
  <c r="E18" i="4"/>
  <c r="D18" i="4"/>
  <c r="C18" i="4"/>
  <c r="M9" i="4"/>
  <c r="L9" i="4"/>
  <c r="K9" i="4"/>
  <c r="J9" i="4"/>
  <c r="I9" i="4"/>
  <c r="H9" i="4"/>
  <c r="G9" i="4"/>
  <c r="F9" i="4"/>
  <c r="E9" i="4"/>
  <c r="D9" i="4"/>
  <c r="C9" i="4"/>
  <c r="M15" i="5"/>
  <c r="L15" i="5"/>
  <c r="K15" i="5"/>
  <c r="J15" i="5"/>
  <c r="I15" i="5"/>
  <c r="H15" i="5"/>
  <c r="G15" i="5"/>
  <c r="F15" i="5"/>
  <c r="E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M13" i="5"/>
  <c r="L13" i="5"/>
  <c r="K13" i="5"/>
  <c r="J13" i="5"/>
  <c r="I13" i="5"/>
  <c r="H13" i="5"/>
  <c r="G13" i="5"/>
  <c r="F13" i="5"/>
  <c r="E13" i="5"/>
  <c r="D13" i="5"/>
  <c r="C13" i="5"/>
  <c r="M12" i="5"/>
  <c r="L12" i="5"/>
  <c r="K12" i="5"/>
  <c r="J12" i="5"/>
  <c r="I12" i="5"/>
  <c r="H12" i="5"/>
  <c r="G12" i="5"/>
  <c r="F12" i="5"/>
  <c r="E12" i="5"/>
  <c r="D12" i="5"/>
  <c r="C12" i="5"/>
  <c r="M5" i="5"/>
  <c r="L5" i="5"/>
  <c r="K5" i="5"/>
  <c r="J5" i="5"/>
  <c r="I5" i="5"/>
  <c r="H5" i="5"/>
  <c r="G5" i="5"/>
  <c r="F5" i="5"/>
  <c r="E5" i="5"/>
  <c r="M4" i="5"/>
  <c r="L4" i="5"/>
  <c r="K4" i="5"/>
  <c r="J4" i="5"/>
  <c r="I4" i="5"/>
  <c r="H4" i="5"/>
  <c r="G4" i="5"/>
  <c r="F4" i="5"/>
  <c r="E4" i="5"/>
  <c r="M3" i="5"/>
  <c r="L3" i="5"/>
  <c r="K3" i="5"/>
  <c r="J3" i="5"/>
  <c r="I3" i="5"/>
  <c r="H3" i="5"/>
  <c r="G3" i="5"/>
  <c r="F3" i="5"/>
  <c r="E3" i="5"/>
  <c r="D5" i="5"/>
  <c r="D4" i="5"/>
  <c r="D3" i="5"/>
  <c r="C5" i="5"/>
  <c r="C4" i="5"/>
  <c r="C3" i="5"/>
  <c r="M6" i="5"/>
  <c r="L6" i="5"/>
  <c r="K6" i="5"/>
  <c r="J6" i="5"/>
  <c r="I6" i="5"/>
  <c r="H6" i="5"/>
  <c r="G6" i="5"/>
  <c r="F6" i="5"/>
  <c r="E6" i="5"/>
  <c r="D6" i="5"/>
  <c r="C6" i="5"/>
  <c r="M33" i="4"/>
  <c r="L33" i="4"/>
  <c r="K33" i="4"/>
  <c r="J33" i="4"/>
  <c r="I33" i="4"/>
  <c r="H33" i="4"/>
  <c r="G33" i="4"/>
  <c r="F33" i="4"/>
  <c r="E33" i="4"/>
  <c r="D33" i="4"/>
  <c r="C33" i="4"/>
  <c r="M30" i="4"/>
  <c r="L30" i="4"/>
  <c r="K30" i="4"/>
  <c r="J30" i="4"/>
  <c r="I30" i="4"/>
  <c r="H30" i="4"/>
  <c r="G30" i="4"/>
  <c r="F30" i="4"/>
  <c r="E30" i="4"/>
  <c r="D30" i="4"/>
  <c r="C30" i="4"/>
  <c r="E34" i="4"/>
  <c r="D34" i="4"/>
  <c r="C34" i="4"/>
  <c r="M26" i="4"/>
  <c r="L26" i="4"/>
  <c r="K26" i="4"/>
  <c r="J26" i="4"/>
  <c r="I26" i="4"/>
  <c r="H26" i="4"/>
  <c r="G26" i="4"/>
  <c r="F26" i="4"/>
  <c r="E26" i="4"/>
  <c r="D26" i="4"/>
  <c r="C26" i="4"/>
  <c r="B19" i="4"/>
  <c r="B21" i="4" s="1"/>
  <c r="M16" i="4"/>
  <c r="L16" i="4"/>
  <c r="K16" i="4"/>
  <c r="J16" i="4"/>
  <c r="I16" i="4"/>
  <c r="H16" i="4"/>
  <c r="G16" i="4"/>
  <c r="F16" i="4"/>
  <c r="E16" i="4"/>
  <c r="D16" i="4"/>
  <c r="C16" i="4"/>
  <c r="M15" i="4"/>
  <c r="L15" i="4"/>
  <c r="K15" i="4"/>
  <c r="J15" i="4"/>
  <c r="I15" i="4"/>
  <c r="H15" i="4"/>
  <c r="G15" i="4"/>
  <c r="F15" i="4"/>
  <c r="E15" i="4"/>
  <c r="D15" i="4"/>
  <c r="C15" i="4"/>
  <c r="M6" i="4"/>
  <c r="L6" i="4"/>
  <c r="L10" i="4" s="1"/>
  <c r="K6" i="4"/>
  <c r="J6" i="4"/>
  <c r="I6" i="4"/>
  <c r="H6" i="4"/>
  <c r="H10" i="4" s="1"/>
  <c r="G6" i="4"/>
  <c r="F6" i="4"/>
  <c r="E6" i="4"/>
  <c r="D6" i="4"/>
  <c r="D10" i="4" s="1"/>
  <c r="C6" i="4"/>
  <c r="M35" i="1"/>
  <c r="L35" i="1"/>
  <c r="K35" i="1"/>
  <c r="J35" i="1"/>
  <c r="I35" i="1"/>
  <c r="H35" i="1"/>
  <c r="G35" i="1"/>
  <c r="F35" i="1"/>
  <c r="E35" i="1"/>
  <c r="D35" i="1"/>
  <c r="C35" i="1"/>
  <c r="M30" i="1"/>
  <c r="L30" i="1"/>
  <c r="K30" i="1"/>
  <c r="J30" i="1"/>
  <c r="I30" i="1"/>
  <c r="H30" i="1"/>
  <c r="G30" i="1"/>
  <c r="F30" i="1"/>
  <c r="E30" i="1"/>
  <c r="D30" i="1"/>
  <c r="C30" i="1"/>
  <c r="M24" i="1"/>
  <c r="L24" i="1"/>
  <c r="K24" i="1"/>
  <c r="J24" i="1"/>
  <c r="I24" i="1"/>
  <c r="H24" i="1"/>
  <c r="G24" i="1"/>
  <c r="F24" i="1"/>
  <c r="E24" i="1"/>
  <c r="D24" i="1"/>
  <c r="C24" i="1"/>
  <c r="M19" i="1"/>
  <c r="L19" i="1"/>
  <c r="K19" i="1"/>
  <c r="J19" i="1"/>
  <c r="I19" i="1"/>
  <c r="H19" i="1"/>
  <c r="G19" i="1"/>
  <c r="F19" i="1"/>
  <c r="E19" i="1"/>
  <c r="D19" i="1"/>
  <c r="C19" i="1"/>
  <c r="M11" i="1"/>
  <c r="L11" i="1"/>
  <c r="K11" i="1"/>
  <c r="J11" i="1"/>
  <c r="I11" i="1"/>
  <c r="H11" i="1"/>
  <c r="G11" i="1"/>
  <c r="F11" i="1"/>
  <c r="E11" i="1"/>
  <c r="D11" i="1"/>
  <c r="C11" i="1"/>
  <c r="M4" i="1"/>
  <c r="L4" i="1"/>
  <c r="K4" i="1"/>
  <c r="J4" i="1"/>
  <c r="C4" i="1"/>
  <c r="D4" i="1"/>
  <c r="E4" i="1"/>
  <c r="G4" i="1"/>
  <c r="H4" i="1"/>
  <c r="I4" i="1"/>
  <c r="B37" i="1"/>
  <c r="B21" i="1"/>
  <c r="B26" i="1"/>
  <c r="B13" i="1"/>
  <c r="L13" i="1" s="1"/>
  <c r="F4" i="1"/>
  <c r="B6" i="1"/>
  <c r="H6" i="1" s="1"/>
  <c r="E10" i="4" l="1"/>
  <c r="I10" i="4"/>
  <c r="M10" i="4"/>
  <c r="F10" i="4"/>
  <c r="J10" i="4"/>
  <c r="C10" i="4"/>
  <c r="G10" i="4"/>
  <c r="K10" i="4"/>
  <c r="B14" i="1"/>
  <c r="G13" i="1"/>
  <c r="D13" i="1"/>
  <c r="C13" i="1"/>
  <c r="K13" i="1"/>
  <c r="H13" i="1"/>
  <c r="F13" i="1"/>
  <c r="J13" i="1"/>
  <c r="E13" i="1"/>
  <c r="I13" i="1"/>
  <c r="M13" i="1"/>
  <c r="L6" i="1"/>
  <c r="C6" i="1"/>
  <c r="D6" i="1"/>
  <c r="K6" i="1"/>
  <c r="G6" i="1"/>
  <c r="J6" i="1"/>
  <c r="E6" i="1"/>
  <c r="I6" i="1"/>
  <c r="M6" i="1"/>
  <c r="F6" i="1"/>
  <c r="J19" i="4" l="1"/>
  <c r="J21" i="4" s="1"/>
  <c r="F19" i="4"/>
  <c r="F21" i="4" s="1"/>
  <c r="K19" i="4"/>
  <c r="K21" i="4" s="1"/>
  <c r="G19" i="4"/>
  <c r="G21" i="4" s="1"/>
  <c r="C19" i="4"/>
  <c r="C21" i="4" s="1"/>
  <c r="L19" i="4"/>
  <c r="L21" i="4" s="1"/>
  <c r="H19" i="4"/>
  <c r="H21" i="4" s="1"/>
  <c r="D19" i="4"/>
  <c r="D21" i="4" s="1"/>
  <c r="M19" i="4"/>
  <c r="M21" i="4" s="1"/>
  <c r="I19" i="4"/>
  <c r="I21" i="4" s="1"/>
  <c r="E19" i="4"/>
  <c r="E21" i="4" s="1"/>
  <c r="C36" i="1"/>
  <c r="C37" i="1" s="1"/>
  <c r="M32" i="1"/>
  <c r="K31" i="1"/>
  <c r="J31" i="1"/>
  <c r="J32" i="1" s="1"/>
  <c r="I31" i="1"/>
  <c r="I32" i="1" s="1"/>
  <c r="H31" i="1"/>
  <c r="G31" i="1"/>
  <c r="F31" i="1"/>
  <c r="F32" i="1" s="1"/>
  <c r="E31" i="1"/>
  <c r="E32" i="1" s="1"/>
  <c r="D31" i="1"/>
  <c r="C31" i="1"/>
  <c r="E5" i="1"/>
  <c r="E7" i="1" s="1"/>
  <c r="D5" i="1"/>
  <c r="C5" i="1"/>
  <c r="E20" i="1"/>
  <c r="E21" i="1" s="1"/>
  <c r="D20" i="1"/>
  <c r="D21" i="1" s="1"/>
  <c r="C20" i="1"/>
  <c r="C21" i="1" s="1"/>
  <c r="M21" i="1"/>
  <c r="L21" i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K5" i="1"/>
  <c r="J5" i="1"/>
  <c r="J7" i="1" s="1"/>
  <c r="I5" i="1"/>
  <c r="H5" i="1"/>
  <c r="G5" i="1"/>
  <c r="M25" i="1"/>
  <c r="M26" i="1" s="1"/>
  <c r="L25" i="1"/>
  <c r="L26" i="1" s="1"/>
  <c r="K25" i="1"/>
  <c r="K26" i="1" s="1"/>
  <c r="J25" i="1"/>
  <c r="J26" i="1" s="1"/>
  <c r="I25" i="1"/>
  <c r="I26" i="1" s="1"/>
  <c r="H25" i="1"/>
  <c r="H26" i="1" s="1"/>
  <c r="G25" i="1"/>
  <c r="G26" i="1" s="1"/>
  <c r="F25" i="1"/>
  <c r="F26" i="1" s="1"/>
  <c r="E25" i="1"/>
  <c r="E26" i="1" s="1"/>
  <c r="D25" i="1"/>
  <c r="D26" i="1" s="1"/>
  <c r="C25" i="1"/>
  <c r="C26" i="1" s="1"/>
  <c r="M12" i="1"/>
  <c r="M14" i="1" s="1"/>
  <c r="L12" i="1"/>
  <c r="L14" i="1" s="1"/>
  <c r="K12" i="1"/>
  <c r="K14" i="1" s="1"/>
  <c r="J12" i="1"/>
  <c r="J14" i="1" s="1"/>
  <c r="I12" i="1"/>
  <c r="I14" i="1" s="1"/>
  <c r="H12" i="1"/>
  <c r="H14" i="1" s="1"/>
  <c r="G12" i="1"/>
  <c r="G14" i="1" s="1"/>
  <c r="F12" i="1"/>
  <c r="F14" i="1" s="1"/>
  <c r="E12" i="1"/>
  <c r="E14" i="1" s="1"/>
  <c r="D12" i="1"/>
  <c r="D14" i="1" s="1"/>
  <c r="C12" i="1"/>
  <c r="C14" i="1" s="1"/>
  <c r="F5" i="1"/>
  <c r="F7" i="1" s="1"/>
  <c r="B32" i="1"/>
  <c r="B7" i="1"/>
  <c r="D36" i="1" l="1"/>
  <c r="C32" i="1"/>
  <c r="G32" i="1"/>
  <c r="D7" i="1"/>
  <c r="D32" i="1"/>
  <c r="H32" i="1"/>
  <c r="L32" i="1"/>
  <c r="K32" i="1"/>
  <c r="M7" i="1"/>
  <c r="H7" i="1"/>
  <c r="G7" i="1"/>
  <c r="L7" i="1"/>
  <c r="K7" i="1"/>
  <c r="I7" i="1"/>
  <c r="C7" i="1"/>
  <c r="E36" i="1" l="1"/>
  <c r="D37" i="1"/>
  <c r="F36" i="1" l="1"/>
  <c r="E37" i="1"/>
  <c r="F37" i="1" l="1"/>
  <c r="G36" i="1"/>
  <c r="G37" i="1" l="1"/>
  <c r="H36" i="1"/>
  <c r="H37" i="1" l="1"/>
  <c r="I36" i="1"/>
  <c r="I37" i="1" l="1"/>
  <c r="J36" i="1"/>
  <c r="J37" i="1" l="1"/>
  <c r="K36" i="1"/>
  <c r="K37" i="1" l="1"/>
  <c r="L36" i="1"/>
  <c r="L37" i="1" l="1"/>
  <c r="M36" i="1"/>
  <c r="M37" i="1" s="1"/>
</calcChain>
</file>

<file path=xl/sharedStrings.xml><?xml version="1.0" encoding="utf-8"?>
<sst xmlns="http://schemas.openxmlformats.org/spreadsheetml/2006/main" count="460" uniqueCount="103">
  <si>
    <t>2015 Dues Schedule</t>
  </si>
  <si>
    <t>One Time Application Fee and Membership dues must be paid at time of application - $200</t>
  </si>
  <si>
    <t>Maryland Office - REALTOR Fees</t>
  </si>
  <si>
    <t>PRIMARY MARYLAND REALTOR MEMBERSHIP DUES SCHEDULE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</si>
  <si>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</si>
  <si>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</si>
  <si>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</si>
  <si>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</si>
  <si>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</si>
  <si>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</si>
  <si>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</si>
  <si>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</si>
  <si>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</si>
  <si>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</si>
  <si>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</t>
  </si>
  <si>
    <t>Dec</t>
  </si>
  <si>
    <t>LOCAL</t>
  </si>
  <si>
    <t>State MD</t>
  </si>
  <si>
    <t>NAR Image Campaign Assessment</t>
  </si>
  <si>
    <t>National</t>
  </si>
  <si>
    <t>Total MD</t>
  </si>
  <si>
    <t>The non-deductible portion of MAR 2015 dues attributive to lobbying is $46, the non-deductible portion of NAR 2015 dues is $44.00</t>
  </si>
  <si>
    <t>Pennsylvania Office - REALTOR Fees</t>
  </si>
  <si>
    <t>PRIMARY PENNSYLVANIA REALTOR MEMBERSHIP DUES SCHEDULE</t>
  </si>
  <si>
    <t>State PA</t>
  </si>
  <si>
    <t>Sub-Total PA</t>
  </si>
  <si>
    <t>PAR Cap. Inv Fee for New Members Only</t>
  </si>
  <si>
    <t>Total PA</t>
  </si>
  <si>
    <t>The non-deductible portion of PAR 2015 dues attributive to lobbying is $11.00, the non-deductible portion of NAR 2015 dues is $44.00</t>
  </si>
  <si>
    <t>SECONDARY REALTOR MEMBERSHIP DUES SCHEDULE</t>
  </si>
  <si>
    <t>Pen-Mar Secondary Membership without SentriLock Card Service</t>
  </si>
  <si>
    <t>Pen-Mar Secondary Membership  with SentriLock Card Service</t>
  </si>
  <si>
    <t>Secondary State Membership</t>
  </si>
  <si>
    <t>PAR Secondary</t>
  </si>
  <si>
    <t>MAR Secondary</t>
  </si>
  <si>
    <t>SentriLock Lockbox Service (optional)</t>
  </si>
  <si>
    <t>SentriLock Lockbox Service</t>
  </si>
  <si>
    <t xml:space="preserve">NOTE: The application fee is a one-time fee unless you drop membership for over one year.  </t>
  </si>
  <si>
    <t>New Firm Fee: (one time fee)</t>
  </si>
  <si>
    <t xml:space="preserve">       Reinstatement fee of $100.00 is applied for  after 30 days from termination of membership up to one year.</t>
  </si>
  <si>
    <t>New Branch Fee: (one time fee)</t>
  </si>
  <si>
    <t xml:space="preserve">        Primary State Membership is determined by the state in which office is located. </t>
  </si>
  <si>
    <t>Member/Office License Change Fee</t>
  </si>
  <si>
    <t>If PA license hangs with office located in MD, State Membership would be Maryland and visa versa.</t>
  </si>
  <si>
    <t>revised: Oct 27, 2014</t>
  </si>
  <si>
    <t>2017 Dues Schedule</t>
  </si>
  <si>
    <t>One Time Application Fee and Membership dues must be paid at time of application - $250</t>
  </si>
  <si>
    <t>The non-deductible portion of MAR 2016 dues attributive to lobbying is $45, the non-deductible portion on NAR 2017 dues is $50</t>
  </si>
  <si>
    <t>The non-deductible portion of PAR 2016 dues attributive to lobbying is $11.00, the non-deductible portion of NAR 2016 dues is $50</t>
  </si>
  <si>
    <t>revised: July 29, 2016</t>
  </si>
  <si>
    <t>2014 Dues Schedule</t>
  </si>
  <si>
    <t>One Time Application Fee and Membership dues must be paid at time of application - $160</t>
  </si>
  <si>
    <t>The non-deductible portion of MAR 2014 dues attributive to lobbying is $46.</t>
  </si>
  <si>
    <t>The non-deductible portion of PAR 2014 dues attributive to lobbying is $11.00</t>
  </si>
  <si>
    <t>Pen-Mar Secondary Membership</t>
  </si>
  <si>
    <t xml:space="preserve">       Reinstatement fee of $80.00 is applied for  after 30 days from termination of membership up to one year.</t>
  </si>
  <si>
    <t>revised: March 2014</t>
  </si>
  <si>
    <t>Primary Members can join the PA Association as Secondary State Member for $105</t>
  </si>
  <si>
    <t>Primary Members can join the MD Association as Secondary State Member for $105.</t>
  </si>
  <si>
    <t>SECONDARY OUT-OF-STATE REALTOR MEMBERSHIP DUES SCHEDULE</t>
  </si>
  <si>
    <r>
      <t xml:space="preserve">PRIMARY AFFILIATE </t>
    </r>
    <r>
      <rPr>
        <sz val="11"/>
        <color theme="1"/>
        <rFont val="Calibri"/>
        <family val="2"/>
        <scheme val="minor"/>
      </rPr>
      <t>(not required to join state)</t>
    </r>
  </si>
  <si>
    <t>Primary Affiliates have the option not to belong to State; however, PMRAR encourages Affiliates to join the State to receive their benefits as well.</t>
  </si>
  <si>
    <t>Reinstatement fee of $80.00 is applied for  after 30 days from termination of membership up to one year.</t>
  </si>
  <si>
    <t>One Time Application Fee: (Membership dues must be paid at time of submittal of application)</t>
  </si>
  <si>
    <t>Firm Fee: (one time fee)</t>
  </si>
  <si>
    <t>Branch Fee: (one time fee)</t>
  </si>
  <si>
    <t xml:space="preserve">Brokers Assessment of non-members: For those agents joining a “REALTOR” member office, </t>
  </si>
  <si>
    <t xml:space="preserve">who do not join the Association, an assessment is due from the Broker and must be paid as soon as that agent joins the office. </t>
  </si>
  <si>
    <t xml:space="preserve">A non-member is not permitted to use the term REALTOR, the “R” logo or receive any of the benefits from any of the REALTOR Associations. </t>
  </si>
  <si>
    <t>An assessment is equal to a REALTOR member's dues at the time the non-member should have been added to the roster.</t>
  </si>
  <si>
    <t>INDIVIDUAL AFFILIATE MEMBERS BENEFIT PRICING</t>
  </si>
  <si>
    <t>Bronze</t>
  </si>
  <si>
    <t>Silver</t>
  </si>
  <si>
    <t>Gold</t>
  </si>
  <si>
    <t>Platinum</t>
  </si>
  <si>
    <t>Optional State Membership  MAR</t>
  </si>
  <si>
    <t>CORPORATE AFFILIATE MEMBERS BENEFIT PRICING</t>
  </si>
  <si>
    <t>Optional State Membership  PAR</t>
  </si>
  <si>
    <t>2023 Dues Schedule</t>
  </si>
  <si>
    <t>PRIMARY MARYLAND REALTOR® MEMBERSHIP PRORATED DUES SCHEDULE</t>
  </si>
  <si>
    <t>Aug</t>
  </si>
  <si>
    <t>Oct</t>
  </si>
  <si>
    <t>Local (Pen-Mar) Dues</t>
  </si>
  <si>
    <t>State (MD) Dues</t>
  </si>
  <si>
    <t xml:space="preserve">NAR Consumer Advertising Campaign </t>
  </si>
  <si>
    <t>National (NAR) Dues</t>
  </si>
  <si>
    <t>*The non-deductible portion of MR 2023 dues attributive to lobbying is $21, the non-deductible portion of NAR 2023 dues is $51.00</t>
  </si>
  <si>
    <t>PRIMARY PENNSYLVANIA REALTOR® MEMBERSHIP PRORATED DUES SCHEDULE</t>
  </si>
  <si>
    <t>State (PA) Dues</t>
  </si>
  <si>
    <t>Total PA (Renewing Members)</t>
  </si>
  <si>
    <t>*PA Capital Investment Fee (one-time fee, New Members only)</t>
  </si>
  <si>
    <t>Total PA (New Members)</t>
  </si>
  <si>
    <t>*The non-deductible portion of PAR 2023 dues attributive to lobbying is $7.50, the non-deductible portion of NAR 2023 dues is $51.00</t>
  </si>
  <si>
    <t>Individual Affiliate Membership</t>
  </si>
  <si>
    <t>*Affiliates are non-REALTOR® members of the association</t>
  </si>
  <si>
    <r>
      <t xml:space="preserve"> ~ </t>
    </r>
    <r>
      <rPr>
        <b/>
        <i/>
        <sz val="15"/>
        <color theme="1"/>
        <rFont val="Calibri"/>
        <family val="2"/>
        <scheme val="minor"/>
      </rPr>
      <t>An application fee of $250 must be paid along with REALTOR® membership dues, at the time of application ~</t>
    </r>
  </si>
  <si>
    <t>*One Time Application Fee of $125 will be added to Dues</t>
  </si>
  <si>
    <t>Total Secondary Member Dues</t>
  </si>
  <si>
    <t>Added Members to Affiliate Company (per person)</t>
  </si>
  <si>
    <t>Maryland - Prorated REALTOR® Dues Fees (for those primarily licensed in MD)</t>
  </si>
  <si>
    <t>Pennsylvania - Prorated REALTOR® Dues Fees (for those primarily licensed in PA)</t>
  </si>
  <si>
    <t>Secondary REALTOR® Membership Prorated Dues Fees (only applies to those who have a primary membership at another local REALTOR Board)</t>
  </si>
  <si>
    <t>Affiliate Membership Dues Fees (A one-time application fee of $125 must be paid by all new Affiliate Members at time of application)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</si>
</sst>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5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14">
    <xf numFmtId="0" fontId="0" fillId="0" borderId="0" xfId="0"/>
    <xf numFmtId="0" fontId="2" fillId="0" borderId="0" xfId="0" applyFont="1"/>
    <xf numFmtId="44" fontId="2" fillId="0" borderId="1" xfId="0" applyNumberFormat="1" applyFont="1" applyBorder="1" applyAlignment="1">
      <alignment horizontal="center" vertical="top" wrapText="1"/>
    </xf>
    <xf numFmtId="44" fontId="2" fillId="0" borderId="2" xfId="0" applyNumberFormat="1" applyFont="1" applyBorder="1" applyAlignment="1">
      <alignment horizontal="center" vertical="top"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 vertical="top" wrapText="1"/>
    </xf>
    <xf numFmtId="44" fontId="0" fillId="0" borderId="0" xfId="0" applyNumberForma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44" fontId="2" fillId="0" borderId="7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44" fontId="1" fillId="0" borderId="2" xfId="0" applyNumberFormat="1" applyFont="1" applyBorder="1"/>
    <xf numFmtId="44" fontId="1" fillId="0" borderId="9" xfId="0" applyNumberFormat="1" applyFont="1" applyBorder="1"/>
    <xf numFmtId="0" fontId="2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44" fontId="1" fillId="0" borderId="11" xfId="0" applyNumberFormat="1" applyFont="1" applyBorder="1"/>
    <xf numFmtId="44" fontId="1" fillId="0" borderId="12" xfId="0" applyNumberFormat="1" applyFont="1" applyBorder="1"/>
    <xf numFmtId="8" fontId="7" fillId="0" borderId="0" xfId="0" applyNumberFormat="1" applyFont="1"/>
    <xf numFmtId="0" fontId="3" fillId="0" borderId="0" xfId="0" applyFont="1" applyAlignment="1">
      <alignment horizontal="center"/>
    </xf>
    <xf numFmtId="0" fontId="8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44" fontId="11" fillId="0" borderId="0" xfId="1" applyFont="1" applyAlignment="1"/>
    <xf numFmtId="44" fontId="10" fillId="0" borderId="0" xfId="1" applyFont="1" applyAlignment="1"/>
    <xf numFmtId="44" fontId="11" fillId="0" borderId="0" xfId="1" applyFont="1" applyBorder="1" applyAlignment="1">
      <alignment vertical="top" wrapText="1"/>
    </xf>
    <xf numFmtId="44" fontId="10" fillId="0" borderId="0" xfId="1" applyFont="1" applyBorder="1" applyAlignment="1"/>
    <xf numFmtId="44" fontId="11" fillId="0" borderId="0" xfId="1" applyFont="1" applyBorder="1" applyAlignment="1"/>
    <xf numFmtId="0" fontId="12" fillId="0" borderId="0" xfId="0" applyFont="1"/>
    <xf numFmtId="0" fontId="12" fillId="0" borderId="13" xfId="0" applyFont="1" applyBorder="1" applyAlignment="1">
      <alignment horizontal="center" vertical="top" wrapText="1"/>
    </xf>
    <xf numFmtId="44" fontId="13" fillId="0" borderId="14" xfId="1" applyFont="1" applyBorder="1" applyAlignment="1">
      <alignment horizontal="center" vertical="top" wrapText="1"/>
    </xf>
    <xf numFmtId="44" fontId="13" fillId="0" borderId="15" xfId="1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top" wrapText="1"/>
    </xf>
    <xf numFmtId="44" fontId="12" fillId="0" borderId="4" xfId="1" applyFont="1" applyBorder="1" applyAlignment="1">
      <alignment vertical="top" wrapText="1"/>
    </xf>
    <xf numFmtId="44" fontId="12" fillId="0" borderId="5" xfId="1" applyFont="1" applyBorder="1" applyAlignment="1">
      <alignment vertical="top" wrapText="1"/>
    </xf>
    <xf numFmtId="0" fontId="13" fillId="0" borderId="6" xfId="0" applyFont="1" applyBorder="1" applyAlignment="1">
      <alignment horizontal="center" vertical="top" wrapText="1"/>
    </xf>
    <xf numFmtId="44" fontId="12" fillId="0" borderId="1" xfId="1" applyFont="1" applyBorder="1" applyAlignment="1">
      <alignment vertical="top" wrapText="1"/>
    </xf>
    <xf numFmtId="44" fontId="12" fillId="0" borderId="7" xfId="1" applyFont="1" applyBorder="1" applyAlignment="1">
      <alignment vertical="top" wrapText="1"/>
    </xf>
    <xf numFmtId="0" fontId="13" fillId="0" borderId="8" xfId="0" applyFont="1" applyBorder="1" applyAlignment="1">
      <alignment horizontal="center" vertical="top" wrapText="1"/>
    </xf>
    <xf numFmtId="44" fontId="12" fillId="0" borderId="2" xfId="1" applyFont="1" applyBorder="1" applyAlignment="1">
      <alignment vertical="top" wrapText="1"/>
    </xf>
    <xf numFmtId="44" fontId="12" fillId="0" borderId="9" xfId="1" applyFont="1" applyBorder="1" applyAlignment="1">
      <alignment vertical="top" wrapText="1"/>
    </xf>
    <xf numFmtId="44" fontId="13" fillId="0" borderId="4" xfId="1" applyFont="1" applyBorder="1" applyAlignment="1">
      <alignment horizontal="center" vertical="top" wrapText="1"/>
    </xf>
    <xf numFmtId="44" fontId="13" fillId="0" borderId="5" xfId="1" applyFont="1" applyBorder="1" applyAlignment="1">
      <alignment horizontal="center" vertical="top" wrapText="1"/>
    </xf>
    <xf numFmtId="44" fontId="5" fillId="0" borderId="0" xfId="1" applyFont="1" applyAlignment="1"/>
    <xf numFmtId="44" fontId="6" fillId="0" borderId="0" xfId="1" applyFont="1" applyAlignment="1"/>
    <xf numFmtId="44" fontId="8" fillId="0" borderId="0" xfId="1" applyFont="1" applyAlignment="1"/>
    <xf numFmtId="44" fontId="4" fillId="0" borderId="0" xfId="1" applyFont="1" applyAlignment="1"/>
    <xf numFmtId="0" fontId="4" fillId="0" borderId="0" xfId="0" applyFont="1"/>
    <xf numFmtId="6" fontId="0" fillId="0" borderId="1" xfId="0" applyNumberFormat="1" applyBorder="1" applyAlignment="1">
      <alignment horizontal="left" vertical="top" wrapText="1" indent="3"/>
    </xf>
    <xf numFmtId="0" fontId="0" fillId="0" borderId="6" xfId="0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44" fontId="2" fillId="0" borderId="17" xfId="0" applyNumberFormat="1" applyFont="1" applyBorder="1" applyAlignment="1">
      <alignment horizontal="center" vertical="top" wrapText="1"/>
    </xf>
    <xf numFmtId="44" fontId="2" fillId="0" borderId="18" xfId="0" applyNumberFormat="1" applyFont="1" applyBorder="1" applyAlignment="1">
      <alignment horizontal="center" vertical="top" wrapText="1"/>
    </xf>
    <xf numFmtId="6" fontId="0" fillId="0" borderId="1" xfId="0" applyNumberFormat="1" applyBorder="1" applyAlignment="1">
      <alignment horizontal="left" vertical="top" wrapText="1" indent="2"/>
    </xf>
    <xf numFmtId="44" fontId="1" fillId="0" borderId="0" xfId="0" applyNumberFormat="1" applyFont="1"/>
    <xf numFmtId="44" fontId="12" fillId="0" borderId="17" xfId="1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top" wrapText="1"/>
    </xf>
    <xf numFmtId="44" fontId="12" fillId="0" borderId="17" xfId="1" applyFont="1" applyBorder="1" applyAlignment="1">
      <alignment vertical="top" wrapText="1"/>
    </xf>
    <xf numFmtId="44" fontId="12" fillId="0" borderId="18" xfId="1" applyFont="1" applyBorder="1" applyAlignment="1">
      <alignment vertical="top" wrapText="1"/>
    </xf>
    <xf numFmtId="44" fontId="12" fillId="0" borderId="19" xfId="1" applyFont="1" applyBorder="1" applyAlignment="1">
      <alignment vertical="top" wrapText="1"/>
    </xf>
    <xf numFmtId="44" fontId="12" fillId="0" borderId="20" xfId="1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44" fontId="12" fillId="0" borderId="0" xfId="1" applyFont="1" applyBorder="1" applyAlignment="1">
      <alignment vertical="top" wrapText="1"/>
    </xf>
    <xf numFmtId="0" fontId="13" fillId="0" borderId="22" xfId="0" applyFont="1" applyBorder="1" applyAlignment="1">
      <alignment horizontal="center" vertical="top" wrapText="1"/>
    </xf>
    <xf numFmtId="0" fontId="10" fillId="0" borderId="21" xfId="0" applyFont="1" applyBorder="1" applyAlignment="1">
      <alignment horizontal="left"/>
    </xf>
    <xf numFmtId="0" fontId="12" fillId="0" borderId="21" xfId="0" applyFont="1" applyBorder="1"/>
    <xf numFmtId="0" fontId="13" fillId="0" borderId="13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/>
    <xf numFmtId="44" fontId="12" fillId="0" borderId="21" xfId="1" applyFont="1" applyBorder="1" applyAlignment="1">
      <alignment vertical="top" wrapText="1"/>
    </xf>
    <xf numFmtId="0" fontId="10" fillId="0" borderId="8" xfId="0" applyFont="1" applyBorder="1" applyAlignment="1">
      <alignment horizontal="center" vertical="center" wrapText="1"/>
    </xf>
    <xf numFmtId="44" fontId="10" fillId="0" borderId="2" xfId="1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44" fontId="10" fillId="0" borderId="11" xfId="1" applyFont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22" xfId="0" applyFont="1" applyBorder="1" applyAlignment="1">
      <alignment horizontal="center" vertical="top" wrapText="1"/>
    </xf>
    <xf numFmtId="44" fontId="12" fillId="0" borderId="19" xfId="1" applyFont="1" applyBorder="1" applyAlignment="1">
      <alignment vertical="center" wrapText="1"/>
    </xf>
    <xf numFmtId="44" fontId="12" fillId="0" borderId="20" xfId="1" applyFont="1" applyBorder="1" applyAlignment="1">
      <alignment vertical="center" wrapText="1"/>
    </xf>
    <xf numFmtId="0" fontId="13" fillId="0" borderId="23" xfId="0" applyFont="1" applyBorder="1" applyAlignment="1">
      <alignment horizontal="center" vertical="top" wrapText="1"/>
    </xf>
    <xf numFmtId="44" fontId="13" fillId="0" borderId="24" xfId="1" applyFont="1" applyBorder="1" applyAlignment="1"/>
    <xf numFmtId="44" fontId="13" fillId="0" borderId="25" xfId="1" applyFont="1" applyBorder="1" applyAlignment="1"/>
    <xf numFmtId="0" fontId="12" fillId="0" borderId="26" xfId="0" applyFont="1" applyBorder="1"/>
    <xf numFmtId="0" fontId="14" fillId="0" borderId="1" xfId="0" applyFont="1" applyBorder="1" applyAlignment="1">
      <alignment horizontal="center" vertical="top" wrapText="1"/>
    </xf>
    <xf numFmtId="44" fontId="16" fillId="3" borderId="14" xfId="1" applyFont="1" applyFill="1" applyBorder="1" applyAlignment="1">
      <alignment horizontal="center" vertical="top" wrapText="1"/>
    </xf>
    <xf numFmtId="44" fontId="17" fillId="2" borderId="19" xfId="1" applyFont="1" applyFill="1" applyBorder="1" applyAlignment="1">
      <alignment horizontal="center"/>
    </xf>
    <xf numFmtId="44" fontId="17" fillId="2" borderId="1" xfId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top" wrapText="1"/>
    </xf>
    <xf numFmtId="0" fontId="15" fillId="0" borderId="0" xfId="0" applyFont="1" applyAlignment="1">
      <alignment horizontal="center"/>
    </xf>
    <xf numFmtId="0" fontId="10" fillId="0" borderId="21" xfId="0" applyFont="1" applyBorder="1" applyAlignment="1">
      <alignment horizontal="center"/>
    </xf>
    <xf numFmtId="0" fontId="0" fillId="0" borderId="27" xfId="0" applyBorder="1" applyAlignment="1">
      <alignment horizontal="center" vertical="top" wrapText="1"/>
    </xf>
    <xf numFmtId="0" fontId="5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4" fontId="17" fillId="4" borderId="0" xfId="1" applyFont="1" applyFill="1" applyBorder="1" applyAlignment="1">
      <alignment vertical="top" wrapText="1"/>
    </xf>
    <xf numFmtId="0" fontId="17" fillId="6" borderId="13" xfId="0" applyFont="1" applyFill="1" applyBorder="1" applyAlignment="1">
      <alignment horizontal="center" vertical="top" wrapText="1"/>
    </xf>
    <xf numFmtId="44" fontId="16" fillId="6" borderId="14" xfId="1" applyFont="1" applyFill="1" applyBorder="1" applyAlignment="1">
      <alignment horizontal="center" vertical="top" wrapText="1"/>
    </xf>
    <xf numFmtId="0" fontId="17" fillId="6" borderId="3" xfId="0" applyFont="1" applyFill="1" applyBorder="1" applyAlignment="1">
      <alignment horizontal="left" vertical="top" wrapText="1"/>
    </xf>
    <xf numFmtId="44" fontId="17" fillId="6" borderId="4" xfId="1" applyFont="1" applyFill="1" applyBorder="1" applyAlignment="1">
      <alignment horizontal="center" vertical="top" wrapText="1"/>
    </xf>
    <xf numFmtId="0" fontId="17" fillId="6" borderId="6" xfId="0" applyFont="1" applyFill="1" applyBorder="1" applyAlignment="1">
      <alignment horizontal="left" vertical="top" wrapText="1"/>
    </xf>
    <xf numFmtId="44" fontId="17" fillId="6" borderId="1" xfId="1" applyFont="1" applyFill="1" applyBorder="1" applyAlignment="1">
      <alignment horizontal="center" vertical="top" wrapText="1"/>
    </xf>
    <xf numFmtId="0" fontId="17" fillId="6" borderId="16" xfId="0" applyFont="1" applyFill="1" applyBorder="1" applyAlignment="1">
      <alignment horizontal="left" vertical="center" wrapText="1"/>
    </xf>
    <xf numFmtId="44" fontId="17" fillId="6" borderId="17" xfId="1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left" vertical="top" wrapText="1"/>
    </xf>
    <xf numFmtId="44" fontId="17" fillId="6" borderId="2" xfId="1" applyFont="1" applyFill="1" applyBorder="1" applyAlignment="1">
      <alignment horizontal="center" vertical="top" wrapText="1"/>
    </xf>
    <xf numFmtId="0" fontId="16" fillId="6" borderId="10" xfId="0" applyFont="1" applyFill="1" applyBorder="1" applyAlignment="1">
      <alignment horizontal="center" vertical="center" wrapText="1"/>
    </xf>
    <xf numFmtId="44" fontId="16" fillId="6" borderId="11" xfId="1" applyFont="1" applyFill="1" applyBorder="1" applyAlignment="1">
      <alignment horizontal="center" vertical="center"/>
    </xf>
    <xf numFmtId="44" fontId="17" fillId="7" borderId="0" xfId="1" applyFont="1" applyFill="1" applyBorder="1" applyAlignment="1">
      <alignment vertical="top" wrapText="1"/>
    </xf>
    <xf numFmtId="0" fontId="17" fillId="7" borderId="13" xfId="0" applyFont="1" applyFill="1" applyBorder="1" applyAlignment="1">
      <alignment horizontal="center" vertical="top" wrapText="1"/>
    </xf>
    <xf numFmtId="44" fontId="16" fillId="7" borderId="14" xfId="1" applyFont="1" applyFill="1" applyBorder="1" applyAlignment="1">
      <alignment horizontal="center" vertical="top" wrapText="1"/>
    </xf>
    <xf numFmtId="0" fontId="17" fillId="7" borderId="3" xfId="0" applyFont="1" applyFill="1" applyBorder="1" applyAlignment="1">
      <alignment horizontal="left" vertical="top" wrapText="1"/>
    </xf>
    <xf numFmtId="44" fontId="17" fillId="7" borderId="4" xfId="1" applyFont="1" applyFill="1" applyBorder="1" applyAlignment="1">
      <alignment horizontal="center" vertical="top" wrapText="1"/>
    </xf>
    <xf numFmtId="0" fontId="17" fillId="7" borderId="6" xfId="0" applyFont="1" applyFill="1" applyBorder="1" applyAlignment="1">
      <alignment horizontal="left" vertical="top" wrapText="1"/>
    </xf>
    <xf numFmtId="44" fontId="17" fillId="7" borderId="1" xfId="1" applyFont="1" applyFill="1" applyBorder="1" applyAlignment="1">
      <alignment horizontal="center" vertical="top" wrapText="1"/>
    </xf>
    <xf numFmtId="0" fontId="17" fillId="7" borderId="16" xfId="0" applyFont="1" applyFill="1" applyBorder="1" applyAlignment="1">
      <alignment horizontal="left" vertical="center" wrapText="1"/>
    </xf>
    <xf numFmtId="44" fontId="17" fillId="7" borderId="17" xfId="1" applyFont="1" applyFill="1" applyBorder="1" applyAlignment="1">
      <alignment horizontal="center" vertical="center" wrapText="1"/>
    </xf>
    <xf numFmtId="0" fontId="17" fillId="7" borderId="16" xfId="0" applyFont="1" applyFill="1" applyBorder="1" applyAlignment="1">
      <alignment horizontal="left" vertical="top" wrapText="1"/>
    </xf>
    <xf numFmtId="44" fontId="17" fillId="7" borderId="17" xfId="1" applyFont="1" applyFill="1" applyBorder="1" applyAlignment="1">
      <alignment horizontal="center" vertical="top" wrapText="1"/>
    </xf>
    <xf numFmtId="0" fontId="16" fillId="7" borderId="6" xfId="0" applyFont="1" applyFill="1" applyBorder="1" applyAlignment="1">
      <alignment horizontal="center" vertical="top" wrapText="1"/>
    </xf>
    <xf numFmtId="44" fontId="16" fillId="7" borderId="1" xfId="1" applyFont="1" applyFill="1" applyBorder="1" applyAlignment="1">
      <alignment horizontal="center"/>
    </xf>
    <xf numFmtId="44" fontId="17" fillId="7" borderId="1" xfId="1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44" fontId="16" fillId="7" borderId="2" xfId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18" fillId="8" borderId="27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31" xfId="0" applyFont="1" applyFill="1" applyBorder="1" applyAlignment="1">
      <alignment horizontal="center"/>
    </xf>
    <xf numFmtId="0" fontId="16" fillId="6" borderId="30" xfId="0" applyFont="1" applyFill="1" applyBorder="1"/>
    <xf numFmtId="44" fontId="16" fillId="6" borderId="0" xfId="1" applyFont="1" applyFill="1" applyBorder="1" applyAlignment="1"/>
    <xf numFmtId="44" fontId="16" fillId="6" borderId="31" xfId="1" applyFont="1" applyFill="1" applyBorder="1" applyAlignment="1">
      <alignment horizontal="right"/>
    </xf>
    <xf numFmtId="0" fontId="16" fillId="6" borderId="30" xfId="0" applyFont="1" applyFill="1" applyBorder="1" applyAlignment="1">
      <alignment horizontal="center"/>
    </xf>
    <xf numFmtId="0" fontId="16" fillId="6" borderId="0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44" fontId="16" fillId="6" borderId="32" xfId="1" applyFont="1" applyFill="1" applyBorder="1" applyAlignment="1">
      <alignment horizontal="center" vertical="top" wrapText="1"/>
    </xf>
    <xf numFmtId="44" fontId="17" fillId="6" borderId="5" xfId="1" applyFont="1" applyFill="1" applyBorder="1" applyAlignment="1">
      <alignment horizontal="right" vertical="top" wrapText="1"/>
    </xf>
    <xf numFmtId="44" fontId="17" fillId="6" borderId="7" xfId="1" applyFont="1" applyFill="1" applyBorder="1" applyAlignment="1">
      <alignment horizontal="right" vertical="top" wrapText="1"/>
    </xf>
    <xf numFmtId="44" fontId="17" fillId="6" borderId="18" xfId="1" applyFont="1" applyFill="1" applyBorder="1" applyAlignment="1">
      <alignment horizontal="right" vertical="center" wrapText="1"/>
    </xf>
    <xf numFmtId="44" fontId="17" fillId="6" borderId="9" xfId="1" applyFont="1" applyFill="1" applyBorder="1" applyAlignment="1">
      <alignment horizontal="right" vertical="top" wrapText="1"/>
    </xf>
    <xf numFmtId="44" fontId="16" fillId="6" borderId="12" xfId="1" applyFont="1" applyFill="1" applyBorder="1" applyAlignment="1">
      <alignment horizontal="right" vertical="center"/>
    </xf>
    <xf numFmtId="0" fontId="17" fillId="6" borderId="30" xfId="0" applyFont="1" applyFill="1" applyBorder="1" applyAlignment="1">
      <alignment horizontal="center" vertical="top" wrapText="1"/>
    </xf>
    <xf numFmtId="0" fontId="17" fillId="6" borderId="0" xfId="0" applyFont="1" applyFill="1" applyBorder="1" applyAlignment="1">
      <alignment horizontal="center" vertical="top" wrapText="1"/>
    </xf>
    <xf numFmtId="0" fontId="17" fillId="6" borderId="31" xfId="0" applyFont="1" applyFill="1" applyBorder="1" applyAlignment="1">
      <alignment horizontal="center" vertical="top" wrapText="1"/>
    </xf>
    <xf numFmtId="0" fontId="17" fillId="4" borderId="30" xfId="0" applyFont="1" applyFill="1" applyBorder="1" applyAlignment="1">
      <alignment horizontal="center" vertical="top" wrapText="1"/>
    </xf>
    <xf numFmtId="0" fontId="17" fillId="4" borderId="0" xfId="0" applyFont="1" applyFill="1" applyBorder="1" applyAlignment="1">
      <alignment horizontal="center" vertical="top" wrapText="1"/>
    </xf>
    <xf numFmtId="0" fontId="17" fillId="4" borderId="31" xfId="0" applyFont="1" applyFill="1" applyBorder="1" applyAlignment="1">
      <alignment horizontal="right" vertical="top" wrapText="1"/>
    </xf>
    <xf numFmtId="44" fontId="17" fillId="7" borderId="31" xfId="1" applyFont="1" applyFill="1" applyBorder="1" applyAlignment="1">
      <alignment horizontal="right" vertical="top" wrapText="1"/>
    </xf>
    <xf numFmtId="0" fontId="16" fillId="7" borderId="30" xfId="0" applyFont="1" applyFill="1" applyBorder="1" applyAlignment="1">
      <alignment horizontal="center"/>
    </xf>
    <xf numFmtId="0" fontId="17" fillId="7" borderId="0" xfId="0" applyFont="1" applyFill="1" applyBorder="1" applyAlignment="1">
      <alignment horizontal="center"/>
    </xf>
    <xf numFmtId="0" fontId="17" fillId="7" borderId="31" xfId="0" applyFont="1" applyFill="1" applyBorder="1" applyAlignment="1">
      <alignment horizontal="center"/>
    </xf>
    <xf numFmtId="44" fontId="16" fillId="7" borderId="15" xfId="1" applyFont="1" applyFill="1" applyBorder="1" applyAlignment="1">
      <alignment horizontal="center" vertical="top" wrapText="1"/>
    </xf>
    <xf numFmtId="44" fontId="17" fillId="7" borderId="5" xfId="1" applyFont="1" applyFill="1" applyBorder="1" applyAlignment="1">
      <alignment horizontal="right" vertical="top" wrapText="1"/>
    </xf>
    <xf numFmtId="44" fontId="17" fillId="7" borderId="7" xfId="1" applyFont="1" applyFill="1" applyBorder="1" applyAlignment="1">
      <alignment horizontal="right" vertical="top" wrapText="1"/>
    </xf>
    <xf numFmtId="44" fontId="17" fillId="7" borderId="7" xfId="1" applyFont="1" applyFill="1" applyBorder="1" applyAlignment="1">
      <alignment horizontal="right" vertical="center" wrapText="1"/>
    </xf>
    <xf numFmtId="44" fontId="17" fillId="7" borderId="18" xfId="1" applyFont="1" applyFill="1" applyBorder="1" applyAlignment="1">
      <alignment horizontal="right" vertical="top" wrapText="1"/>
    </xf>
    <xf numFmtId="44" fontId="16" fillId="7" borderId="7" xfId="1" applyFont="1" applyFill="1" applyBorder="1" applyAlignment="1"/>
    <xf numFmtId="44" fontId="16" fillId="7" borderId="9" xfId="1" applyFont="1" applyFill="1" applyBorder="1" applyAlignment="1">
      <alignment horizontal="right" vertical="center"/>
    </xf>
    <xf numFmtId="0" fontId="17" fillId="7" borderId="30" xfId="0" applyFont="1" applyFill="1" applyBorder="1" applyAlignment="1">
      <alignment horizontal="center" vertical="top" wrapText="1"/>
    </xf>
    <xf numFmtId="0" fontId="17" fillId="7" borderId="0" xfId="0" applyFont="1" applyFill="1" applyBorder="1" applyAlignment="1">
      <alignment horizontal="center" vertical="top" wrapText="1"/>
    </xf>
    <xf numFmtId="0" fontId="17" fillId="7" borderId="31" xfId="0" applyFont="1" applyFill="1" applyBorder="1" applyAlignment="1">
      <alignment horizontal="center" vertical="top" wrapText="1"/>
    </xf>
    <xf numFmtId="0" fontId="16" fillId="3" borderId="3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3" borderId="31" xfId="0" applyFont="1" applyFill="1" applyBorder="1" applyAlignment="1">
      <alignment horizontal="left"/>
    </xf>
    <xf numFmtId="44" fontId="16" fillId="3" borderId="15" xfId="1" applyFont="1" applyFill="1" applyBorder="1" applyAlignment="1">
      <alignment horizontal="center" vertical="top" wrapText="1"/>
    </xf>
    <xf numFmtId="0" fontId="16" fillId="3" borderId="33" xfId="0" applyFont="1" applyFill="1" applyBorder="1" applyAlignment="1">
      <alignment horizontal="left" vertical="top" wrapText="1"/>
    </xf>
    <xf numFmtId="0" fontId="16" fillId="4" borderId="30" xfId="0" applyFont="1" applyFill="1" applyBorder="1" applyAlignment="1">
      <alignment horizontal="left"/>
    </xf>
    <xf numFmtId="44" fontId="16" fillId="4" borderId="31" xfId="1" applyFont="1" applyFill="1" applyBorder="1" applyAlignment="1">
      <alignment horizontal="right" vertical="top" wrapText="1"/>
    </xf>
    <xf numFmtId="0" fontId="16" fillId="2" borderId="34" xfId="0" applyFont="1" applyFill="1" applyBorder="1"/>
    <xf numFmtId="0" fontId="16" fillId="2" borderId="22" xfId="0" applyFont="1" applyFill="1" applyBorder="1"/>
    <xf numFmtId="44" fontId="17" fillId="2" borderId="20" xfId="1" applyFont="1" applyFill="1" applyBorder="1" applyAlignment="1">
      <alignment horizontal="right"/>
    </xf>
    <xf numFmtId="0" fontId="16" fillId="2" borderId="6" xfId="0" applyFont="1" applyFill="1" applyBorder="1"/>
    <xf numFmtId="44" fontId="5" fillId="0" borderId="0" xfId="1" applyFont="1" applyBorder="1" applyAlignment="1"/>
    <xf numFmtId="0" fontId="11" fillId="0" borderId="0" xfId="0" applyFont="1" applyBorder="1"/>
    <xf numFmtId="44" fontId="19" fillId="0" borderId="0" xfId="1" applyFont="1" applyBorder="1" applyAlignment="1"/>
    <xf numFmtId="44" fontId="17" fillId="3" borderId="4" xfId="1" applyFont="1" applyFill="1" applyBorder="1" applyAlignment="1">
      <alignment horizontal="center" vertical="top" wrapText="1"/>
    </xf>
    <xf numFmtId="44" fontId="17" fillId="3" borderId="5" xfId="1" applyFont="1" applyFill="1" applyBorder="1" applyAlignment="1">
      <alignment horizontal="right" vertical="top" wrapText="1"/>
    </xf>
    <xf numFmtId="0" fontId="17" fillId="3" borderId="13" xfId="0" applyFont="1" applyFill="1" applyBorder="1" applyAlignment="1">
      <alignment horizontal="left" vertical="top" wrapText="1"/>
    </xf>
    <xf numFmtId="44" fontId="11" fillId="0" borderId="0" xfId="1" applyFont="1" applyBorder="1" applyAlignment="1">
      <alignment horizontal="right"/>
    </xf>
    <xf numFmtId="44" fontId="5" fillId="0" borderId="0" xfId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4" fontId="16" fillId="2" borderId="13" xfId="1" applyFont="1" applyFill="1" applyBorder="1" applyAlignment="1">
      <alignment horizontal="center" vertical="top" wrapText="1"/>
    </xf>
    <xf numFmtId="44" fontId="16" fillId="2" borderId="19" xfId="1" applyFont="1" applyFill="1" applyBorder="1" applyAlignment="1">
      <alignment horizontal="center" vertical="top" wrapText="1"/>
    </xf>
    <xf numFmtId="44" fontId="17" fillId="2" borderId="35" xfId="1" applyFont="1" applyFill="1" applyBorder="1" applyAlignment="1"/>
    <xf numFmtId="44" fontId="17" fillId="2" borderId="36" xfId="1" applyFont="1" applyFill="1" applyBorder="1" applyAlignment="1"/>
    <xf numFmtId="44" fontId="16" fillId="2" borderId="37" xfId="1" applyFont="1" applyFill="1" applyBorder="1" applyAlignment="1">
      <alignment horizontal="right"/>
    </xf>
    <xf numFmtId="0" fontId="16" fillId="7" borderId="30" xfId="0" applyFont="1" applyFill="1" applyBorder="1" applyAlignment="1">
      <alignment horizontal="left"/>
    </xf>
    <xf numFmtId="0" fontId="0" fillId="0" borderId="0" xfId="0" applyBorder="1"/>
    <xf numFmtId="0" fontId="11" fillId="0" borderId="30" xfId="0" applyFont="1" applyBorder="1"/>
    <xf numFmtId="0" fontId="19" fillId="0" borderId="0" xfId="0" applyFont="1" applyBorder="1"/>
    <xf numFmtId="0" fontId="19" fillId="0" borderId="0" xfId="1" applyNumberFormat="1" applyFont="1" applyBorder="1" applyAlignment="1"/>
    <xf numFmtId="0" fontId="11" fillId="0" borderId="0" xfId="1" applyNumberFormat="1" applyFont="1" applyBorder="1" applyAlignment="1"/>
    <xf numFmtId="0" fontId="16" fillId="4" borderId="3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16" fillId="4" borderId="31" xfId="0" applyFont="1" applyFill="1" applyBorder="1" applyAlignment="1">
      <alignment horizontal="center"/>
    </xf>
    <xf numFmtId="0" fontId="21" fillId="0" borderId="3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zoomScaleNormal="100" workbookViewId="0">
      <selection activeCell="C14" sqref="C14"/>
    </sheetView>
  </sheetViews>
  <sheetFormatPr defaultColWidth="15.42578125" defaultRowHeight="20.25" customHeight="1" x14ac:dyDescent="0.3"/>
  <cols>
    <col min="1" max="1" width="19.5703125" style="28" customWidth="1"/>
    <col min="2" max="13" width="14.7109375" style="31" customWidth="1"/>
    <col min="14" max="16384" width="15.42578125" style="28"/>
  </cols>
  <sheetData>
    <row r="1" spans="1:13" ht="20.25" customHeight="1" x14ac:dyDescent="0.35">
      <c r="A1" s="101" t="s">
        <v>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0.25" customHeight="1" x14ac:dyDescent="0.3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265</v>
      </c>
      <c r="C6" s="42">
        <f>ROUNDUP(SUM(B6/12)*11,2)</f>
        <v>242.92</v>
      </c>
      <c r="D6" s="42">
        <f>ROUNDUP(SUM(B6/12)*10,2)</f>
        <v>220.84</v>
      </c>
      <c r="E6" s="42">
        <f>ROUNDUP(SUM(B6/12)*9,2)</f>
        <v>198.75</v>
      </c>
      <c r="F6" s="42">
        <f>ROUNDUP(SUM(B6/12)*8,0)</f>
        <v>177</v>
      </c>
      <c r="G6" s="42">
        <f>ROUNDUP(SUM(B6/12)*7,2)</f>
        <v>154.59</v>
      </c>
      <c r="H6" s="42">
        <f>ROUNDUP(SUM(B6/12)*6,2)</f>
        <v>132.5</v>
      </c>
      <c r="I6" s="42">
        <f>ROUNDUP(SUM(B6/12)*5,2)</f>
        <v>110.42</v>
      </c>
      <c r="J6" s="42">
        <f>ROUNDUP(SUM(B6/12)*4,2)</f>
        <v>88.34</v>
      </c>
      <c r="K6" s="42">
        <f>ROUNDUP(SUM(B6/12)*3,2)</f>
        <v>66.25</v>
      </c>
      <c r="L6" s="42">
        <f>ROUNDUP(SUM(B6/12)*2,2)</f>
        <v>44.169999999999995</v>
      </c>
      <c r="M6" s="43">
        <f>ROUNDUP(SUM(B6/12)*1,2)</f>
        <v>22.09</v>
      </c>
    </row>
    <row r="7" spans="1:13" s="36" customFormat="1" ht="20.25" customHeight="1" x14ac:dyDescent="0.3">
      <c r="A7" s="44" t="s">
        <v>17</v>
      </c>
      <c r="B7" s="45">
        <v>219</v>
      </c>
      <c r="C7" s="45">
        <v>219</v>
      </c>
      <c r="D7" s="45">
        <v>219</v>
      </c>
      <c r="E7" s="45">
        <v>219</v>
      </c>
      <c r="F7" s="45">
        <v>122</v>
      </c>
      <c r="G7" s="45">
        <v>122</v>
      </c>
      <c r="H7" s="45">
        <v>122</v>
      </c>
      <c r="I7" s="45">
        <v>122</v>
      </c>
      <c r="J7" s="45">
        <v>122</v>
      </c>
      <c r="K7" s="45">
        <v>122</v>
      </c>
      <c r="L7" s="45">
        <v>122</v>
      </c>
      <c r="M7" s="45">
        <v>122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639</v>
      </c>
      <c r="C10" s="84">
        <f xml:space="preserve"> SUM(C6:C9)</f>
        <v>606.91999999999996</v>
      </c>
      <c r="D10" s="84">
        <f t="shared" ref="D10:M10" si="0" xml:space="preserve"> SUM(D6:D9)</f>
        <v>574.84</v>
      </c>
      <c r="E10" s="84">
        <f t="shared" si="0"/>
        <v>542.75</v>
      </c>
      <c r="F10" s="84">
        <f t="shared" si="0"/>
        <v>414</v>
      </c>
      <c r="G10" s="84">
        <f t="shared" si="0"/>
        <v>381.59000000000003</v>
      </c>
      <c r="H10" s="84">
        <f t="shared" si="0"/>
        <v>349.5</v>
      </c>
      <c r="I10" s="84">
        <f t="shared" si="0"/>
        <v>317.42</v>
      </c>
      <c r="J10" s="84">
        <f t="shared" si="0"/>
        <v>285.34000000000003</v>
      </c>
      <c r="K10" s="84">
        <f t="shared" si="0"/>
        <v>253.25</v>
      </c>
      <c r="L10" s="84">
        <f t="shared" si="0"/>
        <v>221.17</v>
      </c>
      <c r="M10" s="84">
        <f t="shared" si="0"/>
        <v>189.09</v>
      </c>
    </row>
    <row r="11" spans="1:13" customFormat="1" ht="20.25" customHeight="1" x14ac:dyDescent="0.25">
      <c r="A11" s="100" t="s">
        <v>21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98" t="s">
        <v>23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265</v>
      </c>
      <c r="C15" s="42">
        <f>ROUNDUP(SUM(B15/12)*11,2)</f>
        <v>242.92</v>
      </c>
      <c r="D15" s="42">
        <f>ROUNDUP(SUM(B15/12)*10,2)</f>
        <v>220.84</v>
      </c>
      <c r="E15" s="42">
        <f>ROUNDUP(SUM(B15/12)*9,2)</f>
        <v>198.75</v>
      </c>
      <c r="F15" s="42">
        <f>ROUNDUP(SUM(B15/12)*8,0)</f>
        <v>177</v>
      </c>
      <c r="G15" s="42">
        <f>ROUNDUP(SUM(B15/12)*7,2)</f>
        <v>154.59</v>
      </c>
      <c r="H15" s="42">
        <f>ROUNDUP(SUM(B15/12)*6,2)</f>
        <v>132.5</v>
      </c>
      <c r="I15" s="42">
        <f>ROUNDUP(SUM(B15/12)*5,2)</f>
        <v>110.42</v>
      </c>
      <c r="J15" s="42">
        <f>ROUNDUP(SUM(B15/12)*4,2)</f>
        <v>88.34</v>
      </c>
      <c r="K15" s="42">
        <f>ROUNDUP(SUM(B15/12)*3,2)</f>
        <v>66.25</v>
      </c>
      <c r="L15" s="42">
        <f>ROUNDUP(SUM(B15/12)*2,2)</f>
        <v>44.169999999999995</v>
      </c>
      <c r="M15" s="43">
        <f>ROUNDUP(SUM(B15/12)*1,2)</f>
        <v>22.09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550</v>
      </c>
      <c r="C19" s="90">
        <f t="shared" si="1"/>
        <v>507.09</v>
      </c>
      <c r="D19" s="90">
        <f t="shared" si="1"/>
        <v>464.18</v>
      </c>
      <c r="E19" s="90">
        <f t="shared" si="1"/>
        <v>421.25</v>
      </c>
      <c r="F19" s="90">
        <f t="shared" si="1"/>
        <v>378.67</v>
      </c>
      <c r="G19" s="90">
        <f t="shared" si="1"/>
        <v>335.43</v>
      </c>
      <c r="H19" s="90">
        <f t="shared" si="1"/>
        <v>292.5</v>
      </c>
      <c r="I19" s="90">
        <f t="shared" si="1"/>
        <v>249.59</v>
      </c>
      <c r="J19" s="90">
        <f t="shared" si="1"/>
        <v>206.68</v>
      </c>
      <c r="K19" s="90">
        <f t="shared" si="1"/>
        <v>163.75</v>
      </c>
      <c r="L19" s="90">
        <f t="shared" si="1"/>
        <v>120.84</v>
      </c>
      <c r="M19" s="91">
        <f t="shared" si="1"/>
        <v>77.930000000000007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615</v>
      </c>
      <c r="C21" s="82">
        <f t="shared" si="2"/>
        <v>572.08999999999992</v>
      </c>
      <c r="D21" s="82">
        <f t="shared" si="2"/>
        <v>529.18000000000006</v>
      </c>
      <c r="E21" s="82">
        <f t="shared" si="2"/>
        <v>486.25</v>
      </c>
      <c r="F21" s="82">
        <f t="shared" si="2"/>
        <v>443.67</v>
      </c>
      <c r="G21" s="82">
        <f t="shared" si="2"/>
        <v>400.43</v>
      </c>
      <c r="H21" s="82">
        <f t="shared" si="2"/>
        <v>357.5</v>
      </c>
      <c r="I21" s="82">
        <f t="shared" si="2"/>
        <v>314.59000000000003</v>
      </c>
      <c r="J21" s="82">
        <f t="shared" si="2"/>
        <v>271.68</v>
      </c>
      <c r="K21" s="82">
        <f t="shared" si="2"/>
        <v>228.75</v>
      </c>
      <c r="L21" s="82">
        <f t="shared" si="2"/>
        <v>185.84</v>
      </c>
      <c r="M21" s="82">
        <f t="shared" si="2"/>
        <v>142.93</v>
      </c>
    </row>
    <row r="22" spans="1:13" ht="20.25" customHeight="1" x14ac:dyDescent="0.3">
      <c r="A22" s="100" t="s">
        <v>28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ht="20.25" customHeight="1" x14ac:dyDescent="0.3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</row>
    <row r="24" spans="1:13" ht="20.25" customHeight="1" thickBot="1" x14ac:dyDescent="0.35">
      <c r="A24" s="30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215</v>
      </c>
      <c r="C26" s="45">
        <f>ROUNDUP(SUM(B26/12)*11,2)</f>
        <v>197.09</v>
      </c>
      <c r="D26" s="45">
        <f>ROUNDUP(SUM(B26/12)*10,2)</f>
        <v>179.17</v>
      </c>
      <c r="E26" s="45">
        <f>ROUNDUP(SUM(B26/12)*9,2)</f>
        <v>161.25</v>
      </c>
      <c r="F26" s="45">
        <f>ROUNDUP(SUM(B26/12)*8,0)</f>
        <v>144</v>
      </c>
      <c r="G26" s="45">
        <f>ROUNDUP(SUM(B26/12)*7,2)</f>
        <v>125.42</v>
      </c>
      <c r="H26" s="45">
        <f>ROUNDUP(SUM(B26/12)*6,2)</f>
        <v>107.5</v>
      </c>
      <c r="I26" s="45">
        <f>ROUNDUP(SUM(B26/12)*5,2)</f>
        <v>89.59</v>
      </c>
      <c r="J26" s="45">
        <f>ROUNDUP(SUM(B26/12)*4,2)</f>
        <v>71.67</v>
      </c>
      <c r="K26" s="45">
        <f>ROUNDUP(SUM(B26/12)*3,2)</f>
        <v>53.75</v>
      </c>
      <c r="L26" s="45">
        <f>ROUNDUP(SUM(B26/12)*2,2)</f>
        <v>35.839999999999996</v>
      </c>
      <c r="M26" s="46">
        <f>ROUNDUP(SUM(B26/12)*1,2)</f>
        <v>17.920000000000002</v>
      </c>
    </row>
    <row r="27" spans="1:13" s="36" customFormat="1" ht="11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20.25" customHeight="1" thickBot="1" x14ac:dyDescent="0.35">
      <c r="A28" s="30" t="s">
        <v>31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s="40" customFormat="1" ht="20.25" customHeight="1" x14ac:dyDescent="0.3">
      <c r="A29" s="77"/>
      <c r="B29" s="38" t="s">
        <v>4</v>
      </c>
      <c r="C29" s="38" t="s">
        <v>5</v>
      </c>
      <c r="D29" s="38" t="s">
        <v>6</v>
      </c>
      <c r="E29" s="38" t="s">
        <v>7</v>
      </c>
      <c r="F29" s="38" t="s">
        <v>8</v>
      </c>
      <c r="G29" s="38" t="s">
        <v>9</v>
      </c>
      <c r="H29" s="38" t="s">
        <v>10</v>
      </c>
      <c r="I29" s="38" t="s">
        <v>11</v>
      </c>
      <c r="J29" s="38" t="s">
        <v>12</v>
      </c>
      <c r="K29" s="38" t="s">
        <v>13</v>
      </c>
      <c r="L29" s="38" t="s">
        <v>14</v>
      </c>
      <c r="M29" s="39" t="s">
        <v>15</v>
      </c>
    </row>
    <row r="30" spans="1:13" s="79" customFormat="1" ht="20.25" customHeight="1" x14ac:dyDescent="0.3">
      <c r="A30" s="78" t="s">
        <v>16</v>
      </c>
      <c r="B30" s="45">
        <v>265</v>
      </c>
      <c r="C30" s="45">
        <f>ROUNDUP(SUM(B30/12)*11,2)</f>
        <v>242.92</v>
      </c>
      <c r="D30" s="45">
        <f>ROUNDUP(SUM(B30/12)*10,2)</f>
        <v>220.84</v>
      </c>
      <c r="E30" s="45">
        <f>ROUNDUP(SUM(B30/12)*9,2)</f>
        <v>198.75</v>
      </c>
      <c r="F30" s="45">
        <f>ROUNDUP(SUM(B30/12)*8,0)</f>
        <v>177</v>
      </c>
      <c r="G30" s="45">
        <f>ROUNDUP(SUM(B30/12)*7,2)</f>
        <v>154.59</v>
      </c>
      <c r="H30" s="45">
        <f>ROUNDUP(SUM(B30/12)*6,2)</f>
        <v>132.5</v>
      </c>
      <c r="I30" s="45">
        <f>ROUNDUP(SUM(B30/12)*5,2)</f>
        <v>110.42</v>
      </c>
      <c r="J30" s="45">
        <f>ROUNDUP(SUM(B30/12)*4,2)</f>
        <v>88.34</v>
      </c>
      <c r="K30" s="45">
        <f>ROUNDUP(SUM(B30/12)*3,2)</f>
        <v>66.25</v>
      </c>
      <c r="L30" s="45">
        <f>ROUNDUP(SUM(B30/12)*2,2)</f>
        <v>44.169999999999995</v>
      </c>
      <c r="M30" s="45">
        <f>ROUNDUP(SUM(B30/12)*1,2)</f>
        <v>22.09</v>
      </c>
    </row>
    <row r="31" spans="1:13" s="36" customFormat="1" ht="9" customHeight="1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s="76" customFormat="1" ht="20.25" customHeight="1" thickBot="1" x14ac:dyDescent="0.35">
      <c r="A32" s="75" t="s">
        <v>32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36" customFormat="1" ht="20.25" customHeight="1" x14ac:dyDescent="0.3">
      <c r="A33" s="74" t="s">
        <v>33</v>
      </c>
      <c r="B33" s="70">
        <v>130</v>
      </c>
      <c r="C33" s="70">
        <f>ROUNDUP(SUM(B33/12)*11,2)</f>
        <v>119.17</v>
      </c>
      <c r="D33" s="70">
        <f>ROUNDUP(SUM(B33/12)*10,2)</f>
        <v>108.34</v>
      </c>
      <c r="E33" s="70">
        <f>ROUNDUP(SUM(B33/12)*9,2)</f>
        <v>97.5</v>
      </c>
      <c r="F33" s="70">
        <f>ROUNDUP(SUM(B33/12)*8,2)</f>
        <v>86.67</v>
      </c>
      <c r="G33" s="70">
        <f>ROUNDUP(SUM(B33/12)*7,2)</f>
        <v>75.84</v>
      </c>
      <c r="H33" s="70">
        <f>ROUNDUP(SUM(B33/12)*6,2)</f>
        <v>65</v>
      </c>
      <c r="I33" s="70">
        <f>ROUNDUP(SUM(B33/12)*5,2)</f>
        <v>54.169999999999995</v>
      </c>
      <c r="J33" s="70">
        <f>ROUNDUP(SUM(B33/12)*4,2)</f>
        <v>43.339999999999996</v>
      </c>
      <c r="K33" s="70">
        <f>ROUNDUP(SUM(B33/12)*3,2)</f>
        <v>32.5</v>
      </c>
      <c r="L33" s="70">
        <f>ROUNDUP(SUM(B33/12)*2,2)</f>
        <v>21.67</v>
      </c>
      <c r="M33" s="71">
        <f>ROUNDUP(SUM(B33/12)*1,2)</f>
        <v>10.84</v>
      </c>
    </row>
    <row r="34" spans="1:13" s="36" customFormat="1" ht="20.25" customHeight="1" x14ac:dyDescent="0.3">
      <c r="A34" s="44" t="s">
        <v>34</v>
      </c>
      <c r="B34" s="45">
        <v>136</v>
      </c>
      <c r="C34" s="45">
        <f>B34</f>
        <v>136</v>
      </c>
      <c r="D34" s="45">
        <f>B34</f>
        <v>136</v>
      </c>
      <c r="E34" s="45">
        <f>B34</f>
        <v>136</v>
      </c>
      <c r="F34" s="45">
        <v>80.5</v>
      </c>
      <c r="G34" s="45">
        <v>80.5</v>
      </c>
      <c r="H34" s="45">
        <v>80.5</v>
      </c>
      <c r="I34" s="45">
        <v>80.5</v>
      </c>
      <c r="J34" s="45">
        <v>80.5</v>
      </c>
      <c r="K34" s="45">
        <v>80.5</v>
      </c>
      <c r="L34" s="45">
        <v>80.5</v>
      </c>
      <c r="M34" s="45">
        <v>80.5</v>
      </c>
    </row>
    <row r="35" spans="1:13" ht="10.5" customHeight="1" x14ac:dyDescent="0.3"/>
    <row r="36" spans="1:13" ht="20.25" customHeight="1" thickBot="1" x14ac:dyDescent="0.35">
      <c r="A36" s="30" t="s">
        <v>35</v>
      </c>
    </row>
    <row r="37" spans="1:13" s="40" customFormat="1" ht="20.25" customHeight="1" x14ac:dyDescent="0.3">
      <c r="A37" s="77"/>
      <c r="B37" s="38" t="s">
        <v>4</v>
      </c>
      <c r="C37" s="38" t="s">
        <v>5</v>
      </c>
      <c r="D37" s="38" t="s">
        <v>6</v>
      </c>
      <c r="E37" s="38" t="s">
        <v>7</v>
      </c>
      <c r="F37" s="38" t="s">
        <v>8</v>
      </c>
      <c r="G37" s="38" t="s">
        <v>9</v>
      </c>
      <c r="H37" s="38" t="s">
        <v>10</v>
      </c>
      <c r="I37" s="38" t="s">
        <v>11</v>
      </c>
      <c r="J37" s="38" t="s">
        <v>12</v>
      </c>
      <c r="K37" s="38" t="s">
        <v>13</v>
      </c>
      <c r="L37" s="38" t="s">
        <v>14</v>
      </c>
      <c r="M37" s="39" t="s">
        <v>15</v>
      </c>
    </row>
    <row r="38" spans="1:13" s="79" customFormat="1" ht="31.5" customHeight="1" x14ac:dyDescent="0.3">
      <c r="A38" s="93" t="s">
        <v>36</v>
      </c>
      <c r="B38" s="45">
        <v>125</v>
      </c>
      <c r="C38" s="45">
        <f>ROUNDUP(SUM(B38/12)*11,2)</f>
        <v>114.59</v>
      </c>
      <c r="D38" s="45">
        <f>ROUNDUP(SUM(B38/12)*10,2)</f>
        <v>104.17</v>
      </c>
      <c r="E38" s="45">
        <f>ROUNDUP(SUM(B38/12)*9,2)</f>
        <v>93.75</v>
      </c>
      <c r="F38" s="45">
        <f>ROUNDUP(SUM(B38/12)*8,0)</f>
        <v>84</v>
      </c>
      <c r="G38" s="45">
        <f>ROUNDUP(SUM(B38/12)*7,2)</f>
        <v>72.92</v>
      </c>
      <c r="H38" s="45">
        <f>ROUNDUP(SUM(B38/12)*6,2)</f>
        <v>62.5</v>
      </c>
      <c r="I38" s="45">
        <f>ROUNDUP(SUM(B38/12)*5,2)</f>
        <v>52.089999999999996</v>
      </c>
      <c r="J38" s="45">
        <f>ROUNDUP(SUM(B38/12)*4,2)</f>
        <v>41.669999999999995</v>
      </c>
      <c r="K38" s="45">
        <f>ROUNDUP(SUM(B38/12)*3,2)</f>
        <v>31.25</v>
      </c>
      <c r="L38" s="45">
        <f>ROUNDUP(SUM(B38/12)*2,2)</f>
        <v>20.84</v>
      </c>
      <c r="M38" s="45">
        <f>ROUNDUP(SUM(B38/12)*1,2)</f>
        <v>10.42</v>
      </c>
    </row>
    <row r="39" spans="1:13" ht="9.75" customHeight="1" x14ac:dyDescent="0.3"/>
    <row r="40" spans="1:13" s="5" customFormat="1" ht="16.5" customHeight="1" x14ac:dyDescent="0.25">
      <c r="A40" s="6" t="s">
        <v>37</v>
      </c>
      <c r="B40" s="52"/>
      <c r="C40" s="52"/>
      <c r="D40" s="52"/>
      <c r="E40" s="52"/>
      <c r="F40" s="52"/>
      <c r="G40" s="52"/>
      <c r="H40" s="56" t="s">
        <v>38</v>
      </c>
      <c r="I40" s="52"/>
      <c r="J40" s="52"/>
      <c r="K40" s="55">
        <v>350</v>
      </c>
      <c r="L40" s="52"/>
      <c r="M40" s="52"/>
    </row>
    <row r="41" spans="1:13" s="5" customFormat="1" ht="16.5" customHeight="1" x14ac:dyDescent="0.25">
      <c r="A41" s="53" t="s">
        <v>39</v>
      </c>
      <c r="C41" s="52"/>
      <c r="D41" s="52"/>
      <c r="E41" s="52"/>
      <c r="F41" s="52"/>
      <c r="G41" s="52"/>
      <c r="H41" s="56" t="s">
        <v>40</v>
      </c>
      <c r="I41" s="52"/>
      <c r="J41" s="52"/>
      <c r="K41" s="55">
        <v>100</v>
      </c>
      <c r="L41" s="52"/>
      <c r="M41" s="52"/>
    </row>
    <row r="42" spans="1:13" s="5" customFormat="1" ht="16.5" customHeight="1" x14ac:dyDescent="0.25">
      <c r="A42" s="53" t="s">
        <v>41</v>
      </c>
      <c r="C42" s="53"/>
      <c r="D42" s="52"/>
      <c r="E42" s="52"/>
      <c r="F42" s="52"/>
      <c r="G42" s="52"/>
      <c r="H42" s="56" t="s">
        <v>42</v>
      </c>
      <c r="I42" s="52"/>
      <c r="J42" s="52"/>
      <c r="K42" s="55">
        <v>10</v>
      </c>
      <c r="L42" s="52"/>
      <c r="M42" s="52"/>
    </row>
    <row r="43" spans="1:13" s="5" customFormat="1" ht="16.5" customHeight="1" x14ac:dyDescent="0.2">
      <c r="A43" s="6"/>
      <c r="B43" s="53" t="s">
        <v>43</v>
      </c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1:13" s="27" customFormat="1" ht="18" customHeight="1" x14ac:dyDescent="0.25">
      <c r="A44" s="6" t="s">
        <v>44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</row>
    <row r="45" spans="1:13" s="27" customFormat="1" ht="18" customHeight="1" x14ac:dyDescent="0.25"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</row>
    <row r="46" spans="1:13" s="27" customFormat="1" ht="18" customHeight="1" x14ac:dyDescent="0.25"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</row>
    <row r="47" spans="1:13" ht="20.25" customHeight="1" x14ac:dyDescent="0.3">
      <c r="M47" s="32"/>
    </row>
  </sheetData>
  <mergeCells count="7">
    <mergeCell ref="A13:M13"/>
    <mergeCell ref="A23:M23"/>
    <mergeCell ref="A11:M11"/>
    <mergeCell ref="A1:M1"/>
    <mergeCell ref="A2:M2"/>
    <mergeCell ref="A4:M4"/>
    <mergeCell ref="A22:M22"/>
  </mergeCells>
  <pageMargins left="0.7" right="0.7" top="1" bottom="0.75" header="0.3" footer="0.3"/>
  <pageSetup scale="56" orientation="landscape" r:id="rId1"/>
  <headerFooter>
    <oddHeader>&amp;C&amp;G</oddHeader>
    <oddFooter>&amp;L&amp;K04-049
Fax: (301) 791-2732&amp;C&amp;K04-048300 Cameo Drive, Hagerstown, MD 21740
Office: (301) 797-4480&amp;R
&amp;K04-049Email: pmrar@mris.com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3"/>
  <sheetViews>
    <sheetView workbookViewId="0">
      <selection sqref="A1:M41"/>
    </sheetView>
  </sheetViews>
  <sheetFormatPr defaultColWidth="15.42578125" defaultRowHeight="18.75" x14ac:dyDescent="0.3"/>
  <cols>
    <col min="1" max="1" width="19.5703125" style="28" customWidth="1"/>
    <col min="2" max="13" width="15.42578125" style="31"/>
    <col min="14" max="16384" width="15.42578125" style="28"/>
  </cols>
  <sheetData>
    <row r="1" spans="1:13" ht="20.25" customHeight="1" x14ac:dyDescent="0.3">
      <c r="A1" s="98" t="s">
        <v>45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0.25" customHeight="1" x14ac:dyDescent="0.3">
      <c r="A2" s="98" t="s">
        <v>46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102" t="s">
        <v>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305</v>
      </c>
      <c r="C6" s="42">
        <v>279.58</v>
      </c>
      <c r="D6" s="42">
        <v>254.17</v>
      </c>
      <c r="E6" s="42">
        <v>228.75</v>
      </c>
      <c r="F6" s="42">
        <v>203.33</v>
      </c>
      <c r="G6" s="42">
        <v>177.92</v>
      </c>
      <c r="H6" s="42">
        <v>152.5</v>
      </c>
      <c r="I6" s="42">
        <v>127.08</v>
      </c>
      <c r="J6" s="42">
        <v>101.67</v>
      </c>
      <c r="K6" s="42">
        <v>76.25</v>
      </c>
      <c r="L6" s="42">
        <v>50.83</v>
      </c>
      <c r="M6" s="43">
        <v>25.42</v>
      </c>
    </row>
    <row r="7" spans="1:13" s="36" customFormat="1" ht="20.25" customHeight="1" x14ac:dyDescent="0.3">
      <c r="A7" s="44" t="s">
        <v>17</v>
      </c>
      <c r="B7" s="45">
        <v>227</v>
      </c>
      <c r="C7" s="45">
        <v>227</v>
      </c>
      <c r="D7" s="45">
        <v>227</v>
      </c>
      <c r="E7" s="45">
        <v>227</v>
      </c>
      <c r="F7" s="45">
        <v>126</v>
      </c>
      <c r="G7" s="45">
        <v>126</v>
      </c>
      <c r="H7" s="45">
        <v>126</v>
      </c>
      <c r="I7" s="45">
        <v>126</v>
      </c>
      <c r="J7" s="45">
        <v>126</v>
      </c>
      <c r="K7" s="45">
        <v>126</v>
      </c>
      <c r="L7" s="45">
        <v>126</v>
      </c>
      <c r="M7" s="45">
        <v>126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687</v>
      </c>
      <c r="C10" s="84">
        <f xml:space="preserve"> SUM(C6:C9)</f>
        <v>651.57999999999993</v>
      </c>
      <c r="D10" s="84">
        <f t="shared" ref="D10:M10" si="0" xml:space="preserve"> SUM(D6:D9)</f>
        <v>616.16999999999996</v>
      </c>
      <c r="E10" s="84">
        <f t="shared" si="0"/>
        <v>580.75</v>
      </c>
      <c r="F10" s="84">
        <f t="shared" si="0"/>
        <v>444.33000000000004</v>
      </c>
      <c r="G10" s="84">
        <f t="shared" si="0"/>
        <v>408.91999999999996</v>
      </c>
      <c r="H10" s="84">
        <f t="shared" si="0"/>
        <v>373.5</v>
      </c>
      <c r="I10" s="84">
        <f t="shared" si="0"/>
        <v>338.08</v>
      </c>
      <c r="J10" s="84">
        <f t="shared" si="0"/>
        <v>302.67</v>
      </c>
      <c r="K10" s="84">
        <f t="shared" si="0"/>
        <v>267.25</v>
      </c>
      <c r="L10" s="84">
        <f t="shared" si="0"/>
        <v>231.82999999999998</v>
      </c>
      <c r="M10" s="84">
        <f t="shared" si="0"/>
        <v>196.42000000000002</v>
      </c>
    </row>
    <row r="11" spans="1:13" customFormat="1" ht="20.25" customHeight="1" x14ac:dyDescent="0.25">
      <c r="A11" s="103" t="s">
        <v>47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102" t="s">
        <v>23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305</v>
      </c>
      <c r="C15" s="42">
        <v>279.58</v>
      </c>
      <c r="D15" s="42">
        <v>254.17</v>
      </c>
      <c r="E15" s="42">
        <v>228.75</v>
      </c>
      <c r="F15" s="42">
        <v>203.33</v>
      </c>
      <c r="G15" s="42">
        <v>177.92</v>
      </c>
      <c r="H15" s="42">
        <v>152.5</v>
      </c>
      <c r="I15" s="42">
        <v>127.08</v>
      </c>
      <c r="J15" s="42">
        <v>101.67</v>
      </c>
      <c r="K15" s="42">
        <v>76.25</v>
      </c>
      <c r="L15" s="42">
        <v>50.83</v>
      </c>
      <c r="M15" s="43">
        <v>25.42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590</v>
      </c>
      <c r="C19" s="90">
        <f t="shared" si="1"/>
        <v>543.75</v>
      </c>
      <c r="D19" s="90">
        <f t="shared" si="1"/>
        <v>497.51</v>
      </c>
      <c r="E19" s="90">
        <f t="shared" si="1"/>
        <v>451.25</v>
      </c>
      <c r="F19" s="90">
        <f t="shared" si="1"/>
        <v>405</v>
      </c>
      <c r="G19" s="90">
        <f t="shared" si="1"/>
        <v>358.76</v>
      </c>
      <c r="H19" s="90">
        <f t="shared" si="1"/>
        <v>312.5</v>
      </c>
      <c r="I19" s="90">
        <f t="shared" si="1"/>
        <v>266.25</v>
      </c>
      <c r="J19" s="90">
        <f t="shared" si="1"/>
        <v>220.01</v>
      </c>
      <c r="K19" s="90">
        <f t="shared" si="1"/>
        <v>173.75</v>
      </c>
      <c r="L19" s="90">
        <f t="shared" si="1"/>
        <v>127.5</v>
      </c>
      <c r="M19" s="91">
        <f t="shared" si="1"/>
        <v>81.260000000000005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655</v>
      </c>
      <c r="C21" s="82">
        <f t="shared" si="2"/>
        <v>608.75</v>
      </c>
      <c r="D21" s="82">
        <f t="shared" si="2"/>
        <v>562.51</v>
      </c>
      <c r="E21" s="82">
        <f t="shared" si="2"/>
        <v>516.25</v>
      </c>
      <c r="F21" s="82">
        <f t="shared" si="2"/>
        <v>470</v>
      </c>
      <c r="G21" s="82">
        <f t="shared" si="2"/>
        <v>423.76</v>
      </c>
      <c r="H21" s="82">
        <f t="shared" si="2"/>
        <v>377.5</v>
      </c>
      <c r="I21" s="82">
        <f t="shared" si="2"/>
        <v>331.25</v>
      </c>
      <c r="J21" s="82">
        <f t="shared" si="2"/>
        <v>285.01</v>
      </c>
      <c r="K21" s="82">
        <f t="shared" si="2"/>
        <v>238.75</v>
      </c>
      <c r="L21" s="82">
        <f t="shared" si="2"/>
        <v>192.5</v>
      </c>
      <c r="M21" s="82">
        <f t="shared" si="2"/>
        <v>146.26</v>
      </c>
    </row>
    <row r="22" spans="1:13" ht="20.25" customHeight="1" x14ac:dyDescent="0.3">
      <c r="A22" s="103" t="s">
        <v>48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</row>
    <row r="23" spans="1:13" ht="20.25" customHeight="1" x14ac:dyDescent="0.3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</row>
    <row r="24" spans="1:13" ht="20.25" customHeight="1" thickBot="1" x14ac:dyDescent="0.35">
      <c r="A24" s="30" t="s">
        <v>30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255</v>
      </c>
      <c r="C26" s="45">
        <v>233.75</v>
      </c>
      <c r="D26" s="45">
        <v>212.5</v>
      </c>
      <c r="E26" s="45">
        <v>191.25</v>
      </c>
      <c r="F26" s="45">
        <v>170</v>
      </c>
      <c r="G26" s="45">
        <v>148.75</v>
      </c>
      <c r="H26" s="45">
        <v>127.5</v>
      </c>
      <c r="I26" s="45">
        <v>106.25</v>
      </c>
      <c r="J26" s="45">
        <v>85</v>
      </c>
      <c r="K26" s="45">
        <v>63.75</v>
      </c>
      <c r="L26" s="45">
        <v>42.5</v>
      </c>
      <c r="M26" s="46">
        <f>ROUNDUP(SUM(B26/12)*1,2)</f>
        <v>21.25</v>
      </c>
    </row>
    <row r="27" spans="1:13" s="36" customFormat="1" ht="20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ht="20.25" customHeight="1" thickBot="1" x14ac:dyDescent="0.35">
      <c r="A28" s="30" t="s">
        <v>31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</row>
    <row r="29" spans="1:13" s="40" customFormat="1" ht="20.25" customHeight="1" thickBot="1" x14ac:dyDescent="0.35">
      <c r="A29" s="77"/>
      <c r="B29" s="38" t="s">
        <v>4</v>
      </c>
      <c r="C29" s="38" t="s">
        <v>5</v>
      </c>
      <c r="D29" s="38" t="s">
        <v>6</v>
      </c>
      <c r="E29" s="38" t="s">
        <v>7</v>
      </c>
      <c r="F29" s="38" t="s">
        <v>8</v>
      </c>
      <c r="G29" s="38" t="s">
        <v>9</v>
      </c>
      <c r="H29" s="38" t="s">
        <v>10</v>
      </c>
      <c r="I29" s="38" t="s">
        <v>11</v>
      </c>
      <c r="J29" s="38" t="s">
        <v>12</v>
      </c>
      <c r="K29" s="38" t="s">
        <v>13</v>
      </c>
      <c r="L29" s="38" t="s">
        <v>14</v>
      </c>
      <c r="M29" s="39" t="s">
        <v>15</v>
      </c>
    </row>
    <row r="30" spans="1:13" s="79" customFormat="1" ht="20.25" customHeight="1" x14ac:dyDescent="0.3">
      <c r="A30" s="78" t="s">
        <v>16</v>
      </c>
      <c r="B30" s="42">
        <v>305</v>
      </c>
      <c r="C30" s="42">
        <v>279.58</v>
      </c>
      <c r="D30" s="42">
        <v>254.17</v>
      </c>
      <c r="E30" s="42">
        <v>228.75</v>
      </c>
      <c r="F30" s="42">
        <v>203.33</v>
      </c>
      <c r="G30" s="42">
        <v>177.92</v>
      </c>
      <c r="H30" s="42">
        <v>152.5</v>
      </c>
      <c r="I30" s="42">
        <v>127.08</v>
      </c>
      <c r="J30" s="42">
        <v>101.67</v>
      </c>
      <c r="K30" s="42">
        <v>76.25</v>
      </c>
      <c r="L30" s="42">
        <v>50.83</v>
      </c>
      <c r="M30" s="43">
        <v>25.42</v>
      </c>
    </row>
    <row r="31" spans="1:13" s="36" customFormat="1" ht="20.25" customHeight="1" x14ac:dyDescent="0.3">
      <c r="A31" s="72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</row>
    <row r="32" spans="1:13" s="76" customFormat="1" ht="20.25" customHeight="1" thickBot="1" x14ac:dyDescent="0.35">
      <c r="A32" s="75" t="s">
        <v>32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</row>
    <row r="33" spans="1:13" s="36" customFormat="1" ht="20.25" customHeight="1" x14ac:dyDescent="0.3">
      <c r="A33" s="74" t="s">
        <v>33</v>
      </c>
      <c r="B33" s="70">
        <v>130</v>
      </c>
      <c r="C33" s="70">
        <f>ROUNDUP(SUM(B33/12)*11,2)</f>
        <v>119.17</v>
      </c>
      <c r="D33" s="70">
        <f>ROUNDUP(SUM(B33/12)*10,2)</f>
        <v>108.34</v>
      </c>
      <c r="E33" s="70">
        <f>ROUNDUP(SUM(B33/12)*9,2)</f>
        <v>97.5</v>
      </c>
      <c r="F33" s="70">
        <f>ROUNDUP(SUM(B33/12)*8,2)</f>
        <v>86.67</v>
      </c>
      <c r="G33" s="70">
        <f>ROUNDUP(SUM(B33/12)*7,2)</f>
        <v>75.84</v>
      </c>
      <c r="H33" s="70">
        <f>ROUNDUP(SUM(B33/12)*6,2)</f>
        <v>65</v>
      </c>
      <c r="I33" s="70">
        <f>ROUNDUP(SUM(B33/12)*5,2)</f>
        <v>54.169999999999995</v>
      </c>
      <c r="J33" s="70">
        <f>ROUNDUP(SUM(B33/12)*4,2)</f>
        <v>43.339999999999996</v>
      </c>
      <c r="K33" s="70">
        <f>ROUNDUP(SUM(B33/12)*3,2)</f>
        <v>32.5</v>
      </c>
      <c r="L33" s="70">
        <f>ROUNDUP(SUM(B33/12)*2,2)</f>
        <v>21.67</v>
      </c>
      <c r="M33" s="71">
        <f>ROUNDUP(SUM(B33/12)*1,2)</f>
        <v>10.84</v>
      </c>
    </row>
    <row r="34" spans="1:13" s="36" customFormat="1" ht="20.25" customHeight="1" x14ac:dyDescent="0.3">
      <c r="A34" s="44" t="s">
        <v>34</v>
      </c>
      <c r="B34" s="45">
        <v>140</v>
      </c>
      <c r="C34" s="45">
        <v>140</v>
      </c>
      <c r="D34" s="45">
        <f>B34</f>
        <v>140</v>
      </c>
      <c r="E34" s="45">
        <f>B34</f>
        <v>140</v>
      </c>
      <c r="F34" s="45">
        <v>82.5</v>
      </c>
      <c r="G34" s="45">
        <v>82.5</v>
      </c>
      <c r="H34" s="45">
        <v>82.5</v>
      </c>
      <c r="I34" s="45">
        <v>82.5</v>
      </c>
      <c r="J34" s="45">
        <v>82.5</v>
      </c>
      <c r="K34" s="45">
        <v>82.5</v>
      </c>
      <c r="L34" s="45">
        <v>82.5</v>
      </c>
      <c r="M34" s="45">
        <v>82.5</v>
      </c>
    </row>
    <row r="35" spans="1:13" ht="9" customHeight="1" x14ac:dyDescent="0.3"/>
    <row r="36" spans="1:13" s="5" customFormat="1" ht="16.5" customHeight="1" x14ac:dyDescent="0.25">
      <c r="A36" s="6" t="s">
        <v>37</v>
      </c>
      <c r="B36" s="52"/>
      <c r="C36" s="52"/>
      <c r="D36" s="52"/>
      <c r="E36" s="52"/>
      <c r="F36" s="52"/>
      <c r="G36" s="52"/>
      <c r="H36" s="56" t="s">
        <v>38</v>
      </c>
      <c r="I36" s="52"/>
      <c r="J36" s="52"/>
      <c r="K36" s="55">
        <v>350</v>
      </c>
      <c r="L36" s="52"/>
      <c r="M36" s="52"/>
    </row>
    <row r="37" spans="1:13" s="5" customFormat="1" ht="16.5" customHeight="1" x14ac:dyDescent="0.25">
      <c r="A37" s="53" t="s">
        <v>39</v>
      </c>
      <c r="C37" s="52"/>
      <c r="D37" s="52"/>
      <c r="E37" s="52"/>
      <c r="F37" s="52"/>
      <c r="G37" s="52"/>
      <c r="H37" s="56" t="s">
        <v>40</v>
      </c>
      <c r="I37" s="52"/>
      <c r="J37" s="52"/>
      <c r="K37" s="55">
        <v>100</v>
      </c>
      <c r="L37" s="52"/>
      <c r="M37" s="52"/>
    </row>
    <row r="38" spans="1:13" s="5" customFormat="1" ht="16.5" customHeight="1" x14ac:dyDescent="0.25">
      <c r="A38" s="53" t="s">
        <v>41</v>
      </c>
      <c r="C38" s="53"/>
      <c r="D38" s="52"/>
      <c r="E38" s="52"/>
      <c r="F38" s="52"/>
      <c r="G38" s="52"/>
      <c r="H38" s="56" t="s">
        <v>42</v>
      </c>
      <c r="I38" s="52"/>
      <c r="J38" s="52"/>
      <c r="K38" s="55">
        <v>20</v>
      </c>
      <c r="L38" s="52"/>
      <c r="M38" s="52"/>
    </row>
    <row r="39" spans="1:13" s="5" customFormat="1" ht="16.5" customHeight="1" x14ac:dyDescent="0.2">
      <c r="A39" s="6"/>
      <c r="B39" s="53" t="s">
        <v>43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 s="27" customFormat="1" ht="18" customHeight="1" x14ac:dyDescent="0.25">
      <c r="A40" s="6" t="s">
        <v>49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  <row r="41" spans="1:13" s="27" customFormat="1" ht="18" customHeight="1" x14ac:dyDescent="0.25"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</row>
    <row r="42" spans="1:13" s="27" customFormat="1" ht="18" customHeight="1" x14ac:dyDescent="0.25"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3" ht="20.25" customHeight="1" x14ac:dyDescent="0.3">
      <c r="M43" s="32"/>
    </row>
  </sheetData>
  <mergeCells count="7">
    <mergeCell ref="A23:M23"/>
    <mergeCell ref="A1:M1"/>
    <mergeCell ref="A2:M2"/>
    <mergeCell ref="A4:M4"/>
    <mergeCell ref="A11:M11"/>
    <mergeCell ref="A13:M13"/>
    <mergeCell ref="A22:M22"/>
  </mergeCells>
  <pageMargins left="0.7" right="0.7" top="0.75" bottom="0.75" header="0.3" footer="0.3"/>
  <pageSetup scale="2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9"/>
  <sheetViews>
    <sheetView workbookViewId="0">
      <selection activeCell="M30" sqref="M30"/>
    </sheetView>
  </sheetViews>
  <sheetFormatPr defaultColWidth="15.42578125" defaultRowHeight="18.75" x14ac:dyDescent="0.3"/>
  <cols>
    <col min="1" max="1" width="19.5703125" style="28" customWidth="1"/>
    <col min="2" max="13" width="15.42578125" style="31"/>
    <col min="14" max="16384" width="15.42578125" style="28"/>
  </cols>
  <sheetData>
    <row r="1" spans="1:13" ht="20.25" customHeight="1" x14ac:dyDescent="0.3">
      <c r="A1" s="98" t="s">
        <v>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20.25" customHeight="1" x14ac:dyDescent="0.3">
      <c r="A2" s="98" t="s">
        <v>51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s="29" customFormat="1" ht="20.25" customHeight="1" x14ac:dyDescent="0.3">
      <c r="A3" s="29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0" customFormat="1" ht="20.25" customHeight="1" thickBot="1" x14ac:dyDescent="0.35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1:13" s="40" customFormat="1" ht="20.25" customHeight="1" thickBot="1" x14ac:dyDescent="0.35">
      <c r="A5" s="37"/>
      <c r="B5" s="38" t="s">
        <v>4</v>
      </c>
      <c r="C5" s="38" t="s">
        <v>5</v>
      </c>
      <c r="D5" s="38" t="s">
        <v>6</v>
      </c>
      <c r="E5" s="38" t="s">
        <v>7</v>
      </c>
      <c r="F5" s="38" t="s">
        <v>8</v>
      </c>
      <c r="G5" s="38" t="s">
        <v>9</v>
      </c>
      <c r="H5" s="38" t="s">
        <v>10</v>
      </c>
      <c r="I5" s="38" t="s">
        <v>11</v>
      </c>
      <c r="J5" s="38" t="s">
        <v>12</v>
      </c>
      <c r="K5" s="38" t="s">
        <v>13</v>
      </c>
      <c r="L5" s="38" t="s">
        <v>14</v>
      </c>
      <c r="M5" s="39" t="s">
        <v>15</v>
      </c>
    </row>
    <row r="6" spans="1:13" s="36" customFormat="1" ht="20.25" customHeight="1" x14ac:dyDescent="0.3">
      <c r="A6" s="41" t="s">
        <v>16</v>
      </c>
      <c r="B6" s="42">
        <v>195</v>
      </c>
      <c r="C6" s="42">
        <f>ROUNDUP(SUM(B6/12)*11,2)</f>
        <v>178.75</v>
      </c>
      <c r="D6" s="42">
        <f>ROUNDUP(SUM(B6/12)*10,2)</f>
        <v>162.5</v>
      </c>
      <c r="E6" s="42">
        <f>ROUNDUP(SUM(B6/12)*9,2)</f>
        <v>146.25</v>
      </c>
      <c r="F6" s="42">
        <f>ROUNDUP(SUM(B6/12)*8,0)</f>
        <v>130</v>
      </c>
      <c r="G6" s="42">
        <f>ROUNDUP(SUM(B6/12)*7,2)</f>
        <v>113.75</v>
      </c>
      <c r="H6" s="42">
        <f>ROUNDUP(SUM(B6/12)*6,2)</f>
        <v>97.5</v>
      </c>
      <c r="I6" s="42">
        <f>ROUNDUP(SUM(B6/12)*5,2)</f>
        <v>81.25</v>
      </c>
      <c r="J6" s="42">
        <f>ROUNDUP(SUM(B6/12)*4,2)</f>
        <v>65</v>
      </c>
      <c r="K6" s="42">
        <f>ROUNDUP(SUM(B6/12)*3,2)</f>
        <v>48.75</v>
      </c>
      <c r="L6" s="42">
        <f>ROUNDUP(SUM(B6/12)*2,2)</f>
        <v>32.5</v>
      </c>
      <c r="M6" s="43">
        <f>ROUNDUP(SUM(B6/12)*1,2)</f>
        <v>16.25</v>
      </c>
    </row>
    <row r="7" spans="1:13" s="36" customFormat="1" ht="20.25" customHeight="1" x14ac:dyDescent="0.3">
      <c r="A7" s="44" t="s">
        <v>17</v>
      </c>
      <c r="B7" s="45">
        <v>215</v>
      </c>
      <c r="C7" s="45">
        <v>215</v>
      </c>
      <c r="D7" s="45">
        <v>215</v>
      </c>
      <c r="E7" s="45">
        <v>215</v>
      </c>
      <c r="F7" s="45">
        <v>120</v>
      </c>
      <c r="G7" s="45">
        <v>120</v>
      </c>
      <c r="H7" s="45">
        <v>120</v>
      </c>
      <c r="I7" s="45">
        <v>120</v>
      </c>
      <c r="J7" s="45">
        <v>120</v>
      </c>
      <c r="K7" s="45">
        <v>120</v>
      </c>
      <c r="L7" s="45">
        <v>120</v>
      </c>
      <c r="M7" s="45">
        <v>120</v>
      </c>
    </row>
    <row r="8" spans="1:13" s="65" customFormat="1" ht="39" customHeight="1" x14ac:dyDescent="0.25">
      <c r="A8" s="66" t="s">
        <v>18</v>
      </c>
      <c r="B8" s="64">
        <v>35</v>
      </c>
      <c r="C8" s="64">
        <v>35</v>
      </c>
      <c r="D8" s="64">
        <v>35</v>
      </c>
      <c r="E8" s="64">
        <v>35</v>
      </c>
      <c r="F8" s="64">
        <v>35</v>
      </c>
      <c r="G8" s="64">
        <v>35</v>
      </c>
      <c r="H8" s="64">
        <v>35</v>
      </c>
      <c r="I8" s="64">
        <v>35</v>
      </c>
      <c r="J8" s="64">
        <v>35</v>
      </c>
      <c r="K8" s="64">
        <v>35</v>
      </c>
      <c r="L8" s="64">
        <v>35</v>
      </c>
      <c r="M8" s="64">
        <v>35</v>
      </c>
    </row>
    <row r="9" spans="1:13" s="36" customFormat="1" ht="20.25" customHeight="1" thickBot="1" x14ac:dyDescent="0.35">
      <c r="A9" s="47" t="s">
        <v>19</v>
      </c>
      <c r="B9" s="48">
        <v>120</v>
      </c>
      <c r="C9" s="48">
        <f>ROUNDUP(SUM((B9)/12)*11,2)</f>
        <v>110</v>
      </c>
      <c r="D9" s="48">
        <f>ROUNDUP(SUM((B9)/12)*10,2)</f>
        <v>100</v>
      </c>
      <c r="E9" s="48">
        <f>ROUNDUP(SUM((B9)/12)*9,2)</f>
        <v>90</v>
      </c>
      <c r="F9" s="48">
        <f>ROUNDUP(SUM((B9)/12)*8,2)</f>
        <v>80</v>
      </c>
      <c r="G9" s="48">
        <f>ROUNDUP(SUM((B9)/12)*7,2)</f>
        <v>70</v>
      </c>
      <c r="H9" s="48">
        <f>ROUNDUP(SUM((B9)/12)*6,2)</f>
        <v>60</v>
      </c>
      <c r="I9" s="48">
        <f>ROUNDUP(SUM((B9)/12)*5,2)</f>
        <v>50</v>
      </c>
      <c r="J9" s="48">
        <f>ROUNDUP(SUM((B9)/12)*4,2)</f>
        <v>40</v>
      </c>
      <c r="K9" s="48">
        <f>ROUNDUP(SUM((B9)/12)*3,2)</f>
        <v>30</v>
      </c>
      <c r="L9" s="48">
        <f>ROUNDUP(SUM((B9)/12)*2,2)</f>
        <v>20</v>
      </c>
      <c r="M9" s="49">
        <f>ROUNDUP(SUM((B9)/12)*1,2)</f>
        <v>10</v>
      </c>
    </row>
    <row r="10" spans="1:13" s="85" customFormat="1" ht="20.25" customHeight="1" thickBot="1" x14ac:dyDescent="0.3">
      <c r="A10" s="83" t="s">
        <v>20</v>
      </c>
      <c r="B10" s="84">
        <f xml:space="preserve"> SUM(B6:B9)</f>
        <v>565</v>
      </c>
      <c r="C10" s="84">
        <f xml:space="preserve"> SUM(C6:C9)</f>
        <v>538.75</v>
      </c>
      <c r="D10" s="84">
        <f t="shared" ref="D10:M10" si="0" xml:space="preserve"> SUM(D6:D9)</f>
        <v>512.5</v>
      </c>
      <c r="E10" s="84">
        <f t="shared" si="0"/>
        <v>486.25</v>
      </c>
      <c r="F10" s="84">
        <f t="shared" si="0"/>
        <v>365</v>
      </c>
      <c r="G10" s="84">
        <f t="shared" si="0"/>
        <v>338.75</v>
      </c>
      <c r="H10" s="84">
        <f t="shared" si="0"/>
        <v>312.5</v>
      </c>
      <c r="I10" s="84">
        <f t="shared" si="0"/>
        <v>286.25</v>
      </c>
      <c r="J10" s="84">
        <f t="shared" si="0"/>
        <v>260</v>
      </c>
      <c r="K10" s="84">
        <f t="shared" si="0"/>
        <v>233.75</v>
      </c>
      <c r="L10" s="84">
        <f t="shared" si="0"/>
        <v>207.5</v>
      </c>
      <c r="M10" s="84">
        <f t="shared" si="0"/>
        <v>181.25</v>
      </c>
    </row>
    <row r="11" spans="1:13" customFormat="1" ht="20.25" customHeight="1" x14ac:dyDescent="0.25">
      <c r="A11" s="100" t="s">
        <v>52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</row>
    <row r="12" spans="1:13" ht="20.25" customHeight="1" x14ac:dyDescent="0.3">
      <c r="A12" s="29" t="s">
        <v>22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</row>
    <row r="13" spans="1:13" ht="20.25" customHeight="1" thickBot="1" x14ac:dyDescent="0.35">
      <c r="A13" s="98" t="s">
        <v>23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</row>
    <row r="14" spans="1:13" s="40" customFormat="1" ht="20.25" customHeight="1" thickBot="1" x14ac:dyDescent="0.35">
      <c r="A14" s="37"/>
      <c r="B14" s="38" t="s">
        <v>4</v>
      </c>
      <c r="C14" s="38" t="s">
        <v>5</v>
      </c>
      <c r="D14" s="38" t="s">
        <v>6</v>
      </c>
      <c r="E14" s="38" t="s">
        <v>7</v>
      </c>
      <c r="F14" s="38" t="s">
        <v>8</v>
      </c>
      <c r="G14" s="38" t="s">
        <v>9</v>
      </c>
      <c r="H14" s="38" t="s">
        <v>10</v>
      </c>
      <c r="I14" s="38" t="s">
        <v>11</v>
      </c>
      <c r="J14" s="38" t="s">
        <v>12</v>
      </c>
      <c r="K14" s="38" t="s">
        <v>13</v>
      </c>
      <c r="L14" s="38" t="s">
        <v>14</v>
      </c>
      <c r="M14" s="39" t="s">
        <v>15</v>
      </c>
    </row>
    <row r="15" spans="1:13" s="36" customFormat="1" ht="20.25" customHeight="1" x14ac:dyDescent="0.3">
      <c r="A15" s="41" t="s">
        <v>16</v>
      </c>
      <c r="B15" s="42">
        <v>195</v>
      </c>
      <c r="C15" s="42">
        <f>ROUNDUP(SUM(B15/12)*11,2)</f>
        <v>178.75</v>
      </c>
      <c r="D15" s="42">
        <f>ROUNDUP(SUM(B15/12)*10,2)</f>
        <v>162.5</v>
      </c>
      <c r="E15" s="42">
        <f>ROUNDUP(SUM(B15/12)*9,2)</f>
        <v>146.25</v>
      </c>
      <c r="F15" s="42">
        <f>ROUNDUP(SUM(B15/12)*8,0)</f>
        <v>130</v>
      </c>
      <c r="G15" s="42">
        <f>ROUNDUP(SUM(B15/12)*7,2)</f>
        <v>113.75</v>
      </c>
      <c r="H15" s="42">
        <f>ROUNDUP(SUM(B15/12)*6,2)</f>
        <v>97.5</v>
      </c>
      <c r="I15" s="42">
        <f>ROUNDUP(SUM(B15/12)*5,2)</f>
        <v>81.25</v>
      </c>
      <c r="J15" s="42">
        <f>ROUNDUP(SUM(B15/12)*4,2)</f>
        <v>65</v>
      </c>
      <c r="K15" s="42">
        <f>ROUNDUP(SUM(B15/12)*3,2)</f>
        <v>48.75</v>
      </c>
      <c r="L15" s="42">
        <f>ROUNDUP(SUM(B15/12)*2,2)</f>
        <v>32.5</v>
      </c>
      <c r="M15" s="43">
        <f>ROUNDUP(SUM(B15/12)*1,2)</f>
        <v>16.25</v>
      </c>
    </row>
    <row r="16" spans="1:13" s="36" customFormat="1" ht="20.25" customHeight="1" x14ac:dyDescent="0.3">
      <c r="A16" s="44" t="s">
        <v>24</v>
      </c>
      <c r="B16" s="45">
        <v>130</v>
      </c>
      <c r="C16" s="45">
        <f>ROUNDUP(SUM(B16/12)*11,2)</f>
        <v>119.17</v>
      </c>
      <c r="D16" s="45">
        <f>ROUNDUP(SUM(B16/12)*10,2)</f>
        <v>108.34</v>
      </c>
      <c r="E16" s="45">
        <f>ROUNDUP(SUM(B16/12)*9,2)</f>
        <v>97.5</v>
      </c>
      <c r="F16" s="45">
        <f>ROUNDUP(SUM(B16/12)*8,2)</f>
        <v>86.67</v>
      </c>
      <c r="G16" s="45">
        <f>ROUNDUP(SUM(B16/12)*7,2)</f>
        <v>75.84</v>
      </c>
      <c r="H16" s="45">
        <f>ROUNDUP(SUM(B16/12)*6,2)</f>
        <v>65</v>
      </c>
      <c r="I16" s="45">
        <f>ROUNDUP(SUM(B16/12)*5,2)</f>
        <v>54.169999999999995</v>
      </c>
      <c r="J16" s="45">
        <f>ROUNDUP(SUM(B16/12)*4,2)</f>
        <v>43.339999999999996</v>
      </c>
      <c r="K16" s="45">
        <f>ROUNDUP(SUM(B16/12)*3,2)</f>
        <v>32.5</v>
      </c>
      <c r="L16" s="45">
        <f>ROUNDUP(SUM(B16/12)*2,2)</f>
        <v>21.67</v>
      </c>
      <c r="M16" s="46">
        <f>ROUNDUP(SUM(B16/12)*1,2)</f>
        <v>10.84</v>
      </c>
    </row>
    <row r="17" spans="1:13" s="65" customFormat="1" ht="39" customHeight="1" x14ac:dyDescent="0.25">
      <c r="A17" s="66" t="s">
        <v>18</v>
      </c>
      <c r="B17" s="64">
        <v>35</v>
      </c>
      <c r="C17" s="64">
        <v>35</v>
      </c>
      <c r="D17" s="64">
        <v>35</v>
      </c>
      <c r="E17" s="64">
        <v>35</v>
      </c>
      <c r="F17" s="64">
        <v>35</v>
      </c>
      <c r="G17" s="64">
        <v>35</v>
      </c>
      <c r="H17" s="64">
        <v>35</v>
      </c>
      <c r="I17" s="64">
        <v>35</v>
      </c>
      <c r="J17" s="64">
        <v>35</v>
      </c>
      <c r="K17" s="64">
        <v>35</v>
      </c>
      <c r="L17" s="64">
        <v>35</v>
      </c>
      <c r="M17" s="64">
        <v>35</v>
      </c>
    </row>
    <row r="18" spans="1:13" s="36" customFormat="1" ht="20.25" customHeight="1" x14ac:dyDescent="0.3">
      <c r="A18" s="67" t="s">
        <v>19</v>
      </c>
      <c r="B18" s="68">
        <v>120</v>
      </c>
      <c r="C18" s="68">
        <f>ROUNDUP(SUM((B18)/12)*11,2)</f>
        <v>110</v>
      </c>
      <c r="D18" s="68">
        <f>ROUNDUP(SUM((B18)/12)*10,2)</f>
        <v>100</v>
      </c>
      <c r="E18" s="68">
        <f>ROUNDUP(SUM((B18)/12)*9,2)</f>
        <v>90</v>
      </c>
      <c r="F18" s="68">
        <f>ROUNDUP(SUM((B18)/12)*8,2)</f>
        <v>80</v>
      </c>
      <c r="G18" s="68">
        <f>ROUNDUP(SUM((B18)/12)*7,2)</f>
        <v>70</v>
      </c>
      <c r="H18" s="68">
        <f>ROUNDUP(SUM((B18)/12)*6,2)</f>
        <v>60</v>
      </c>
      <c r="I18" s="68">
        <f>ROUNDUP(SUM((B18)/12)*5,2)</f>
        <v>50</v>
      </c>
      <c r="J18" s="68">
        <f>ROUNDUP(SUM((B18)/12)*4,2)</f>
        <v>40</v>
      </c>
      <c r="K18" s="68">
        <f>ROUNDUP(SUM((B18)/12)*3,2)</f>
        <v>30</v>
      </c>
      <c r="L18" s="68">
        <f>ROUNDUP(SUM((B18)/12)*2,2)</f>
        <v>20</v>
      </c>
      <c r="M18" s="69">
        <f>ROUNDUP(SUM((B18)/12)*1,2)</f>
        <v>10</v>
      </c>
    </row>
    <row r="19" spans="1:13" s="92" customFormat="1" ht="20.25" customHeight="1" thickBot="1" x14ac:dyDescent="0.35">
      <c r="A19" s="89" t="s">
        <v>25</v>
      </c>
      <c r="B19" s="90">
        <f t="shared" ref="B19:M19" si="1">SUM(B15:B18)</f>
        <v>480</v>
      </c>
      <c r="C19" s="90">
        <f t="shared" si="1"/>
        <v>442.92</v>
      </c>
      <c r="D19" s="90">
        <f t="shared" si="1"/>
        <v>405.84000000000003</v>
      </c>
      <c r="E19" s="90">
        <f t="shared" si="1"/>
        <v>368.75</v>
      </c>
      <c r="F19" s="90">
        <f t="shared" si="1"/>
        <v>331.67</v>
      </c>
      <c r="G19" s="90">
        <f t="shared" si="1"/>
        <v>294.59000000000003</v>
      </c>
      <c r="H19" s="90">
        <f t="shared" si="1"/>
        <v>257.5</v>
      </c>
      <c r="I19" s="90">
        <f t="shared" si="1"/>
        <v>220.42</v>
      </c>
      <c r="J19" s="90">
        <f t="shared" si="1"/>
        <v>183.34</v>
      </c>
      <c r="K19" s="90">
        <f t="shared" si="1"/>
        <v>146.25</v>
      </c>
      <c r="L19" s="90">
        <f t="shared" si="1"/>
        <v>109.17</v>
      </c>
      <c r="M19" s="91">
        <f t="shared" si="1"/>
        <v>72.09</v>
      </c>
    </row>
    <row r="20" spans="1:13" s="36" customFormat="1" ht="33.75" customHeight="1" thickTop="1" x14ac:dyDescent="0.3">
      <c r="A20" s="86" t="s">
        <v>26</v>
      </c>
      <c r="B20" s="87">
        <v>65</v>
      </c>
      <c r="C20" s="87">
        <v>65</v>
      </c>
      <c r="D20" s="87">
        <v>65</v>
      </c>
      <c r="E20" s="87">
        <v>65</v>
      </c>
      <c r="F20" s="87">
        <v>65</v>
      </c>
      <c r="G20" s="87">
        <v>65</v>
      </c>
      <c r="H20" s="87">
        <v>65</v>
      </c>
      <c r="I20" s="87">
        <v>65</v>
      </c>
      <c r="J20" s="87">
        <v>65</v>
      </c>
      <c r="K20" s="87">
        <v>65</v>
      </c>
      <c r="L20" s="87">
        <v>65</v>
      </c>
      <c r="M20" s="88">
        <v>65</v>
      </c>
    </row>
    <row r="21" spans="1:13" ht="20.25" customHeight="1" thickBot="1" x14ac:dyDescent="0.35">
      <c r="A21" s="81" t="s">
        <v>27</v>
      </c>
      <c r="B21" s="82">
        <f t="shared" ref="B21:M21" si="2">SUM(B19+B20)</f>
        <v>545</v>
      </c>
      <c r="C21" s="82">
        <f t="shared" si="2"/>
        <v>507.92</v>
      </c>
      <c r="D21" s="82">
        <f t="shared" si="2"/>
        <v>470.84000000000003</v>
      </c>
      <c r="E21" s="82">
        <f t="shared" si="2"/>
        <v>433.75</v>
      </c>
      <c r="F21" s="82">
        <f t="shared" si="2"/>
        <v>396.67</v>
      </c>
      <c r="G21" s="82">
        <f t="shared" si="2"/>
        <v>359.59000000000003</v>
      </c>
      <c r="H21" s="82">
        <f t="shared" si="2"/>
        <v>322.5</v>
      </c>
      <c r="I21" s="82">
        <f t="shared" si="2"/>
        <v>285.41999999999996</v>
      </c>
      <c r="J21" s="82">
        <f t="shared" si="2"/>
        <v>248.34</v>
      </c>
      <c r="K21" s="82">
        <f t="shared" si="2"/>
        <v>211.25</v>
      </c>
      <c r="L21" s="82">
        <f t="shared" si="2"/>
        <v>174.17000000000002</v>
      </c>
      <c r="M21" s="82">
        <f t="shared" si="2"/>
        <v>137.09</v>
      </c>
    </row>
    <row r="22" spans="1:13" ht="20.25" customHeight="1" x14ac:dyDescent="0.3">
      <c r="A22" s="100" t="s">
        <v>53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</row>
    <row r="23" spans="1:13" ht="20.25" customHeight="1" x14ac:dyDescent="0.3">
      <c r="A23" s="98" t="s">
        <v>29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</row>
    <row r="24" spans="1:13" ht="20.25" customHeight="1" thickBot="1" x14ac:dyDescent="0.35">
      <c r="A24" s="30" t="s">
        <v>54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</row>
    <row r="25" spans="1:13" s="40" customFormat="1" ht="20.25" customHeight="1" x14ac:dyDescent="0.3">
      <c r="A25" s="41"/>
      <c r="B25" s="50" t="s">
        <v>4</v>
      </c>
      <c r="C25" s="50" t="s">
        <v>5</v>
      </c>
      <c r="D25" s="50" t="s">
        <v>6</v>
      </c>
      <c r="E25" s="50" t="s">
        <v>7</v>
      </c>
      <c r="F25" s="50" t="s">
        <v>8</v>
      </c>
      <c r="G25" s="50" t="s">
        <v>9</v>
      </c>
      <c r="H25" s="50" t="s">
        <v>10</v>
      </c>
      <c r="I25" s="50" t="s">
        <v>11</v>
      </c>
      <c r="J25" s="50" t="s">
        <v>12</v>
      </c>
      <c r="K25" s="50" t="s">
        <v>13</v>
      </c>
      <c r="L25" s="50" t="s">
        <v>14</v>
      </c>
      <c r="M25" s="51" t="s">
        <v>15</v>
      </c>
    </row>
    <row r="26" spans="1:13" s="36" customFormat="1" ht="20.25" customHeight="1" x14ac:dyDescent="0.3">
      <c r="A26" s="44" t="s">
        <v>16</v>
      </c>
      <c r="B26" s="45">
        <v>195</v>
      </c>
      <c r="C26" s="45">
        <f>ROUNDUP(SUM(B26/12)*11,2)</f>
        <v>178.75</v>
      </c>
      <c r="D26" s="45">
        <f>ROUNDUP(SUM(B26/12)*10,2)</f>
        <v>162.5</v>
      </c>
      <c r="E26" s="45">
        <f>ROUNDUP(SUM(B26/12)*9,2)</f>
        <v>146.25</v>
      </c>
      <c r="F26" s="45">
        <f>ROUNDUP(SUM(B26/12)*8,0)</f>
        <v>130</v>
      </c>
      <c r="G26" s="45">
        <f>ROUNDUP(SUM(B26/12)*7,2)</f>
        <v>113.75</v>
      </c>
      <c r="H26" s="45">
        <f>ROUNDUP(SUM(B26/12)*6,2)</f>
        <v>97.5</v>
      </c>
      <c r="I26" s="45">
        <f>ROUNDUP(SUM(B26/12)*5,2)</f>
        <v>81.25</v>
      </c>
      <c r="J26" s="45">
        <f>ROUNDUP(SUM(B26/12)*4,2)</f>
        <v>65</v>
      </c>
      <c r="K26" s="45">
        <f>ROUNDUP(SUM(B26/12)*3,2)</f>
        <v>48.75</v>
      </c>
      <c r="L26" s="45">
        <f>ROUNDUP(SUM(B26/12)*2,2)</f>
        <v>32.5</v>
      </c>
      <c r="M26" s="46">
        <f>ROUNDUP(SUM(B26/12)*1,2)</f>
        <v>16.25</v>
      </c>
    </row>
    <row r="27" spans="1:13" s="36" customFormat="1" ht="20.25" customHeight="1" x14ac:dyDescent="0.3">
      <c r="A27" s="72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</row>
    <row r="28" spans="1:13" s="76" customFormat="1" ht="20.25" customHeight="1" thickBot="1" x14ac:dyDescent="0.35">
      <c r="A28" s="75" t="s">
        <v>32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s="36" customFormat="1" ht="20.25" customHeight="1" x14ac:dyDescent="0.3">
      <c r="A29" s="74" t="s">
        <v>33</v>
      </c>
      <c r="B29" s="70">
        <v>130</v>
      </c>
      <c r="C29" s="70">
        <f>ROUNDUP(SUM(B29/12)*11,2)</f>
        <v>119.17</v>
      </c>
      <c r="D29" s="70">
        <f>ROUNDUP(SUM(B29/12)*10,2)</f>
        <v>108.34</v>
      </c>
      <c r="E29" s="70">
        <f>ROUNDUP(SUM(B29/12)*9,2)</f>
        <v>97.5</v>
      </c>
      <c r="F29" s="70">
        <f>ROUNDUP(SUM(B29/12)*8,2)</f>
        <v>86.67</v>
      </c>
      <c r="G29" s="70">
        <f>ROUNDUP(SUM(B29/12)*7,2)</f>
        <v>75.84</v>
      </c>
      <c r="H29" s="70">
        <f>ROUNDUP(SUM(B29/12)*6,2)</f>
        <v>65</v>
      </c>
      <c r="I29" s="70">
        <f>ROUNDUP(SUM(B29/12)*5,2)</f>
        <v>54.169999999999995</v>
      </c>
      <c r="J29" s="70">
        <f>ROUNDUP(SUM(B29/12)*4,2)</f>
        <v>43.339999999999996</v>
      </c>
      <c r="K29" s="70">
        <f>ROUNDUP(SUM(B29/12)*3,2)</f>
        <v>32.5</v>
      </c>
      <c r="L29" s="70">
        <f>ROUNDUP(SUM(B29/12)*2,2)</f>
        <v>21.67</v>
      </c>
      <c r="M29" s="71">
        <f>ROUNDUP(SUM(B29/12)*1,2)</f>
        <v>10.84</v>
      </c>
    </row>
    <row r="30" spans="1:13" s="36" customFormat="1" ht="20.25" customHeight="1" x14ac:dyDescent="0.3">
      <c r="A30" s="44" t="s">
        <v>34</v>
      </c>
      <c r="B30" s="45">
        <v>134</v>
      </c>
      <c r="C30" s="45">
        <f>B30</f>
        <v>134</v>
      </c>
      <c r="D30" s="45">
        <f>B30</f>
        <v>134</v>
      </c>
      <c r="E30" s="45">
        <f>B30</f>
        <v>134</v>
      </c>
      <c r="F30" s="45">
        <v>79.5</v>
      </c>
      <c r="G30" s="45">
        <v>79.5</v>
      </c>
      <c r="H30" s="45">
        <v>79.5</v>
      </c>
      <c r="I30" s="45">
        <v>79.5</v>
      </c>
      <c r="J30" s="45">
        <v>79.5</v>
      </c>
      <c r="K30" s="45">
        <v>79.5</v>
      </c>
      <c r="L30" s="45">
        <v>79.5</v>
      </c>
      <c r="M30" s="45">
        <v>79.5</v>
      </c>
    </row>
    <row r="31" spans="1:13" ht="9" customHeight="1" x14ac:dyDescent="0.3"/>
    <row r="32" spans="1:13" s="5" customFormat="1" ht="16.5" customHeight="1" x14ac:dyDescent="0.25">
      <c r="A32" s="6" t="s">
        <v>37</v>
      </c>
      <c r="B32" s="52"/>
      <c r="C32" s="52"/>
      <c r="D32" s="52"/>
      <c r="E32" s="52"/>
      <c r="F32" s="52"/>
      <c r="G32" s="52"/>
      <c r="H32" s="56" t="s">
        <v>38</v>
      </c>
      <c r="I32" s="52"/>
      <c r="J32" s="52"/>
      <c r="K32" s="55">
        <v>350</v>
      </c>
      <c r="L32" s="52"/>
      <c r="M32" s="52"/>
    </row>
    <row r="33" spans="1:13" s="5" customFormat="1" ht="16.5" customHeight="1" x14ac:dyDescent="0.25">
      <c r="A33" s="53" t="s">
        <v>55</v>
      </c>
      <c r="C33" s="52"/>
      <c r="D33" s="52"/>
      <c r="E33" s="52"/>
      <c r="F33" s="52"/>
      <c r="G33" s="52"/>
      <c r="H33" s="56" t="s">
        <v>40</v>
      </c>
      <c r="I33" s="52"/>
      <c r="J33" s="52"/>
      <c r="K33" s="55">
        <v>100</v>
      </c>
      <c r="L33" s="52"/>
      <c r="M33" s="52"/>
    </row>
    <row r="34" spans="1:13" s="5" customFormat="1" ht="16.5" customHeight="1" x14ac:dyDescent="0.25">
      <c r="A34" s="53" t="s">
        <v>41</v>
      </c>
      <c r="C34" s="53"/>
      <c r="D34" s="52"/>
      <c r="E34" s="52"/>
      <c r="F34" s="52"/>
      <c r="G34" s="52"/>
      <c r="H34" s="56" t="s">
        <v>42</v>
      </c>
      <c r="I34" s="52"/>
      <c r="J34" s="52"/>
      <c r="K34" s="55">
        <v>10</v>
      </c>
      <c r="L34" s="52"/>
      <c r="M34" s="52"/>
    </row>
    <row r="35" spans="1:13" s="5" customFormat="1" ht="16.5" customHeight="1" x14ac:dyDescent="0.2">
      <c r="A35" s="6"/>
      <c r="B35" s="53" t="s">
        <v>43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1:13" s="27" customFormat="1" ht="18" customHeight="1" x14ac:dyDescent="0.25">
      <c r="A36" s="6" t="s">
        <v>56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3" s="27" customFormat="1" ht="18" customHeight="1" x14ac:dyDescent="0.25"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</row>
    <row r="38" spans="1:13" s="27" customFormat="1" ht="18" customHeight="1" x14ac:dyDescent="0.25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</row>
    <row r="39" spans="1:13" ht="20.25" customHeight="1" x14ac:dyDescent="0.3">
      <c r="M39" s="32"/>
    </row>
  </sheetData>
  <mergeCells count="7">
    <mergeCell ref="A23:M23"/>
    <mergeCell ref="A1:M1"/>
    <mergeCell ref="A2:M2"/>
    <mergeCell ref="A4:M4"/>
    <mergeCell ref="A11:M11"/>
    <mergeCell ref="A13:M13"/>
    <mergeCell ref="A22:M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4"/>
  <sheetViews>
    <sheetView zoomScaleNormal="100" workbookViewId="0">
      <selection activeCell="N31" sqref="N31"/>
    </sheetView>
  </sheetViews>
  <sheetFormatPr defaultColWidth="9.140625" defaultRowHeight="12" x14ac:dyDescent="0.2"/>
  <cols>
    <col min="1" max="1" width="11.140625" style="1" customWidth="1"/>
    <col min="2" max="12" width="8.7109375" style="1" customWidth="1"/>
    <col min="13" max="13" width="11" style="1" customWidth="1"/>
    <col min="14" max="16384" width="9.140625" style="1"/>
  </cols>
  <sheetData>
    <row r="1" spans="1:13" x14ac:dyDescent="0.2">
      <c r="F1" s="26">
        <v>2013</v>
      </c>
    </row>
    <row r="2" spans="1:13" s="9" customFormat="1" ht="15.75" thickBot="1" x14ac:dyDescent="0.3">
      <c r="A2" s="111" t="s">
        <v>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 x14ac:dyDescent="0.2">
      <c r="A3" s="20"/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3" t="s">
        <v>12</v>
      </c>
      <c r="K3" s="13" t="s">
        <v>13</v>
      </c>
      <c r="L3" s="13" t="s">
        <v>14</v>
      </c>
      <c r="M3" s="14" t="s">
        <v>15</v>
      </c>
    </row>
    <row r="4" spans="1:13" ht="15.95" customHeight="1" x14ac:dyDescent="0.2">
      <c r="A4" s="15" t="s">
        <v>16</v>
      </c>
      <c r="B4" s="2">
        <v>195</v>
      </c>
      <c r="C4" s="2">
        <f>ROUNDUP(SUM(B4/12)*11,2)</f>
        <v>178.75</v>
      </c>
      <c r="D4" s="2">
        <f>ROUNDUP(SUM(B4/12)*10,2)</f>
        <v>162.5</v>
      </c>
      <c r="E4" s="2">
        <f>ROUNDUP(SUM(B4/12)*9,2)</f>
        <v>146.25</v>
      </c>
      <c r="F4" s="2">
        <f>ROUNDUP(SUM(B4/12)*8,0)</f>
        <v>130</v>
      </c>
      <c r="G4" s="2">
        <f>ROUNDUP(SUM(B4/12)*7,2)</f>
        <v>113.75</v>
      </c>
      <c r="H4" s="2">
        <f>ROUNDUP(SUM(B4/12)*6,2)</f>
        <v>97.5</v>
      </c>
      <c r="I4" s="2">
        <f>ROUNDUP(SUM(B4/12)*5,2)</f>
        <v>81.25</v>
      </c>
      <c r="J4" s="2">
        <f>ROUNDUP(SUM(B4/12)*4,2)</f>
        <v>65</v>
      </c>
      <c r="K4" s="2">
        <f>ROUNDUP(SUM(B4/12)*3,2)</f>
        <v>48.75</v>
      </c>
      <c r="L4" s="2">
        <f>ROUNDUP(SUM(B4/12)*2,2)</f>
        <v>32.5</v>
      </c>
      <c r="M4" s="16">
        <f>ROUNDUP(SUM(B4/12)*1,2)</f>
        <v>16.25</v>
      </c>
    </row>
    <row r="5" spans="1:13" ht="15.95" customHeight="1" x14ac:dyDescent="0.2">
      <c r="A5" s="15" t="s">
        <v>17</v>
      </c>
      <c r="B5" s="2">
        <v>181</v>
      </c>
      <c r="C5" s="2">
        <f>B5</f>
        <v>181</v>
      </c>
      <c r="D5" s="2">
        <f>B5</f>
        <v>181</v>
      </c>
      <c r="E5" s="2">
        <f>B5</f>
        <v>181</v>
      </c>
      <c r="F5" s="2">
        <f>ROUNDUP(SUM(B5/2),2)</f>
        <v>90.5</v>
      </c>
      <c r="G5" s="2">
        <f>ROUNDUP(SUM(B5/2),2)</f>
        <v>90.5</v>
      </c>
      <c r="H5" s="2">
        <f>ROUNDUP(SUM(B5/2),2)</f>
        <v>90.5</v>
      </c>
      <c r="I5" s="2">
        <f>ROUNDUP(SUM(B5/2),2)</f>
        <v>90.5</v>
      </c>
      <c r="J5" s="2">
        <f>ROUNDUP(SUM(B5/2),2)</f>
        <v>90.5</v>
      </c>
      <c r="K5" s="2">
        <f>ROUNDUP(SUM(B5/2),2)</f>
        <v>90.5</v>
      </c>
      <c r="L5" s="2">
        <v>0</v>
      </c>
      <c r="M5" s="16">
        <v>0</v>
      </c>
    </row>
    <row r="6" spans="1:13" ht="15.95" customHeight="1" thickBot="1" x14ac:dyDescent="0.25">
      <c r="A6" s="21" t="s">
        <v>19</v>
      </c>
      <c r="B6" s="3">
        <f>SUM(120+35)</f>
        <v>155</v>
      </c>
      <c r="C6" s="2">
        <f>ROUNDUP(SUM((B6-35)/12)*11,2)+35</f>
        <v>145</v>
      </c>
      <c r="D6" s="2">
        <f>ROUNDUP(SUM((B6-35)/12)*10,2)+35</f>
        <v>135</v>
      </c>
      <c r="E6" s="2">
        <f>ROUNDUP(SUM((B6-35)/12)*9,2)+35</f>
        <v>125</v>
      </c>
      <c r="F6" s="2">
        <f>ROUNDUP(SUM((B6-35)/12)*8,2)+35</f>
        <v>115</v>
      </c>
      <c r="G6" s="2">
        <f>ROUNDUP(SUM((B6-35)/12)*7,2)+35</f>
        <v>105</v>
      </c>
      <c r="H6" s="2">
        <f>ROUNDUP(SUM((B6-35)/12)*6,2)+35</f>
        <v>95</v>
      </c>
      <c r="I6" s="2">
        <f>ROUNDUP(SUM((B6-35)/12)*5,2)+35</f>
        <v>85</v>
      </c>
      <c r="J6" s="2">
        <f>ROUNDUP(SUM((B6-35)/12)*4,2)+35</f>
        <v>75</v>
      </c>
      <c r="K6" s="2">
        <f>ROUNDUP(SUM((B6-35)/12)*3,2)+35</f>
        <v>65</v>
      </c>
      <c r="L6" s="2">
        <f>ROUNDUP(SUM((B6-35)/12)*2,2)+35</f>
        <v>55</v>
      </c>
      <c r="M6" s="16">
        <f>ROUNDUP(SUM((B6-35)/12)*1,2)+35</f>
        <v>45</v>
      </c>
    </row>
    <row r="7" spans="1:13" s="4" customFormat="1" ht="15.95" customHeight="1" thickBot="1" x14ac:dyDescent="0.3">
      <c r="A7" s="22" t="s">
        <v>20</v>
      </c>
      <c r="B7" s="23">
        <f t="shared" ref="B7:M7" si="0" xml:space="preserve"> SUM(B4+B5+B6)</f>
        <v>531</v>
      </c>
      <c r="C7" s="23">
        <f t="shared" si="0"/>
        <v>504.75</v>
      </c>
      <c r="D7" s="23">
        <f t="shared" si="0"/>
        <v>478.5</v>
      </c>
      <c r="E7" s="23">
        <f t="shared" si="0"/>
        <v>452.25</v>
      </c>
      <c r="F7" s="23">
        <f t="shared" si="0"/>
        <v>335.5</v>
      </c>
      <c r="G7" s="23">
        <f t="shared" si="0"/>
        <v>309.25</v>
      </c>
      <c r="H7" s="23">
        <f t="shared" si="0"/>
        <v>283</v>
      </c>
      <c r="I7" s="23">
        <f t="shared" si="0"/>
        <v>256.75</v>
      </c>
      <c r="J7" s="23">
        <f t="shared" si="0"/>
        <v>230.5</v>
      </c>
      <c r="K7" s="23">
        <f t="shared" si="0"/>
        <v>204.25</v>
      </c>
      <c r="L7" s="23">
        <f t="shared" si="0"/>
        <v>87.5</v>
      </c>
      <c r="M7" s="24">
        <f t="shared" si="0"/>
        <v>61.25</v>
      </c>
    </row>
    <row r="8" spans="1:13" customFormat="1" ht="15.95" customHeight="1" x14ac:dyDescent="0.25">
      <c r="A8" s="107" t="s">
        <v>57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</row>
    <row r="9" spans="1:13" customFormat="1" ht="15.95" customHeight="1" x14ac:dyDescent="0.25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customFormat="1" ht="15.75" thickBot="1" x14ac:dyDescent="0.3">
      <c r="A10" s="111" t="s">
        <v>23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</row>
    <row r="11" spans="1:13" ht="15.95" customHeight="1" x14ac:dyDescent="0.2">
      <c r="A11" s="12" t="s">
        <v>16</v>
      </c>
      <c r="B11" s="2">
        <v>195</v>
      </c>
      <c r="C11" s="2">
        <f>ROUNDUP(SUM(B11/12)*11,2)</f>
        <v>178.75</v>
      </c>
      <c r="D11" s="2">
        <f>ROUNDUP(SUM(B11/12)*10,2)</f>
        <v>162.5</v>
      </c>
      <c r="E11" s="2">
        <f>ROUNDUP(SUM(B11/12)*9,2)</f>
        <v>146.25</v>
      </c>
      <c r="F11" s="2">
        <f>ROUNDUP(SUM(B11/12)*8,0)</f>
        <v>130</v>
      </c>
      <c r="G11" s="2">
        <f>ROUNDUP(SUM(B11/12)*7,2)</f>
        <v>113.75</v>
      </c>
      <c r="H11" s="2">
        <f>ROUNDUP(SUM(B11/12)*6,2)</f>
        <v>97.5</v>
      </c>
      <c r="I11" s="2">
        <f>ROUNDUP(SUM(B11/12)*5,2)</f>
        <v>81.25</v>
      </c>
      <c r="J11" s="2">
        <f>ROUNDUP(SUM(B11/12)*4,2)</f>
        <v>65</v>
      </c>
      <c r="K11" s="2">
        <f>ROUNDUP(SUM(B11/12)*3,2)</f>
        <v>48.75</v>
      </c>
      <c r="L11" s="2">
        <f>ROUNDUP(SUM(B11/12)*2,2)</f>
        <v>32.5</v>
      </c>
      <c r="M11" s="16">
        <f>ROUNDUP(SUM(B11/12)*1,2)</f>
        <v>16.25</v>
      </c>
    </row>
    <row r="12" spans="1:13" ht="15.95" customHeight="1" x14ac:dyDescent="0.2">
      <c r="A12" s="15" t="s">
        <v>24</v>
      </c>
      <c r="B12" s="2">
        <v>105</v>
      </c>
      <c r="C12" s="2">
        <f>ROUNDUP(SUM(B12/12)*11,2)</f>
        <v>96.25</v>
      </c>
      <c r="D12" s="2">
        <f>ROUNDUP(SUM(B12/12)*10,2)</f>
        <v>87.5</v>
      </c>
      <c r="E12" s="2">
        <f>ROUNDUP(SUM(B12/12)*9,2)</f>
        <v>78.75</v>
      </c>
      <c r="F12" s="2">
        <f>ROUNDUP(SUM(B12/12)*8,2)</f>
        <v>70</v>
      </c>
      <c r="G12" s="2">
        <f>ROUNDUP(SUM(B12/12)*7,2)</f>
        <v>61.25</v>
      </c>
      <c r="H12" s="2">
        <f>ROUNDUP(SUM(B12/12)*6,2)</f>
        <v>52.5</v>
      </c>
      <c r="I12" s="2">
        <f>ROUNDUP(SUM(B12/12)*5,2)</f>
        <v>43.75</v>
      </c>
      <c r="J12" s="2">
        <f>ROUNDUP(SUM(B12/12)*4,2)</f>
        <v>35</v>
      </c>
      <c r="K12" s="2">
        <f>ROUNDUP(SUM(B12/12)*3,2)</f>
        <v>26.25</v>
      </c>
      <c r="L12" s="2">
        <f>ROUNDUP(SUM(B12/12)*2,2)</f>
        <v>17.5</v>
      </c>
      <c r="M12" s="16">
        <f>ROUNDUP(SUM(B12/12)*1,2)</f>
        <v>8.75</v>
      </c>
    </row>
    <row r="13" spans="1:13" ht="15.95" customHeight="1" x14ac:dyDescent="0.2">
      <c r="A13" s="15" t="s">
        <v>19</v>
      </c>
      <c r="B13" s="2">
        <f>SUM(120+35)</f>
        <v>155</v>
      </c>
      <c r="C13" s="2">
        <f>ROUNDUP(SUM((B13-35)/12)*11,2)+35</f>
        <v>145</v>
      </c>
      <c r="D13" s="2">
        <f>ROUNDUP(SUM((B13-35)/12)*10,2)+35</f>
        <v>135</v>
      </c>
      <c r="E13" s="2">
        <f>ROUNDUP(SUM((B13-35)/12)*9,2)+35</f>
        <v>125</v>
      </c>
      <c r="F13" s="2">
        <f>ROUNDUP(SUM((B13-35)/12)*8,2)+35</f>
        <v>115</v>
      </c>
      <c r="G13" s="2">
        <f>ROUNDUP(SUM((B13-35)/12)*7,2)+35</f>
        <v>105</v>
      </c>
      <c r="H13" s="2">
        <f>ROUNDUP(SUM((B13-35)/12)*6,2)+35</f>
        <v>95</v>
      </c>
      <c r="I13" s="2">
        <f>ROUNDUP(SUM((B13-35)/12)*5,2)+35</f>
        <v>85</v>
      </c>
      <c r="J13" s="2">
        <f>ROUNDUP(SUM((B13-35)/12)*4,2)+35</f>
        <v>75</v>
      </c>
      <c r="K13" s="2">
        <f>ROUNDUP(SUM((B13-35)/12)*3,2)+35</f>
        <v>65</v>
      </c>
      <c r="L13" s="2">
        <f>ROUNDUP(SUM((B13-35)/12)*2,2)+35</f>
        <v>55</v>
      </c>
      <c r="M13" s="16">
        <f>ROUNDUP(SUM((B13-35)/12)*1,2)+35</f>
        <v>45</v>
      </c>
    </row>
    <row r="14" spans="1:13" s="4" customFormat="1" ht="15.95" customHeight="1" thickBot="1" x14ac:dyDescent="0.3">
      <c r="A14" s="17" t="s">
        <v>27</v>
      </c>
      <c r="B14" s="18">
        <f>SUM(B11:B13)</f>
        <v>455</v>
      </c>
      <c r="C14" s="18">
        <f t="shared" ref="C14:M14" si="1">SUM(C11:C13)</f>
        <v>420</v>
      </c>
      <c r="D14" s="18">
        <f t="shared" si="1"/>
        <v>385</v>
      </c>
      <c r="E14" s="18">
        <f t="shared" si="1"/>
        <v>350</v>
      </c>
      <c r="F14" s="18">
        <f t="shared" si="1"/>
        <v>315</v>
      </c>
      <c r="G14" s="18">
        <f t="shared" si="1"/>
        <v>280</v>
      </c>
      <c r="H14" s="18">
        <f t="shared" si="1"/>
        <v>245</v>
      </c>
      <c r="I14" s="18">
        <f t="shared" si="1"/>
        <v>210</v>
      </c>
      <c r="J14" s="18">
        <f t="shared" si="1"/>
        <v>175</v>
      </c>
      <c r="K14" s="18">
        <f t="shared" si="1"/>
        <v>140</v>
      </c>
      <c r="L14" s="18">
        <f t="shared" si="1"/>
        <v>105</v>
      </c>
      <c r="M14" s="19">
        <f t="shared" si="1"/>
        <v>70</v>
      </c>
    </row>
    <row r="15" spans="1:13" ht="15" x14ac:dyDescent="0.25">
      <c r="A15" s="109" t="s">
        <v>58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</row>
    <row r="17" spans="1:13" customFormat="1" ht="15.75" thickBot="1" x14ac:dyDescent="0.3">
      <c r="A17" s="111" t="s">
        <v>59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</row>
    <row r="18" spans="1:13" x14ac:dyDescent="0.2">
      <c r="A18" s="12"/>
      <c r="B18" s="13" t="s">
        <v>4</v>
      </c>
      <c r="C18" s="13" t="s">
        <v>5</v>
      </c>
      <c r="D18" s="13" t="s">
        <v>6</v>
      </c>
      <c r="E18" s="13" t="s">
        <v>7</v>
      </c>
      <c r="F18" s="13" t="s">
        <v>8</v>
      </c>
      <c r="G18" s="13" t="s">
        <v>9</v>
      </c>
      <c r="H18" s="13" t="s">
        <v>10</v>
      </c>
      <c r="I18" s="13" t="s">
        <v>11</v>
      </c>
      <c r="J18" s="13" t="s">
        <v>12</v>
      </c>
      <c r="K18" s="13" t="s">
        <v>13</v>
      </c>
      <c r="L18" s="13" t="s">
        <v>14</v>
      </c>
      <c r="M18" s="14" t="s">
        <v>15</v>
      </c>
    </row>
    <row r="19" spans="1:13" ht="15.95" customHeight="1" x14ac:dyDescent="0.2">
      <c r="A19" s="15" t="s">
        <v>16</v>
      </c>
      <c r="B19" s="2">
        <v>195</v>
      </c>
      <c r="C19" s="2">
        <f>ROUNDUP(SUM(B19/12)*11,2)</f>
        <v>178.75</v>
      </c>
      <c r="D19" s="2">
        <f>ROUNDUP(SUM(B19/12)*10,2)</f>
        <v>162.5</v>
      </c>
      <c r="E19" s="2">
        <f>ROUNDUP(SUM(B19/12)*9,2)</f>
        <v>146.25</v>
      </c>
      <c r="F19" s="2">
        <f>ROUNDUP(SUM(B19/12)*8,0)</f>
        <v>130</v>
      </c>
      <c r="G19" s="2">
        <f>ROUNDUP(SUM(B19/12)*7,2)</f>
        <v>113.75</v>
      </c>
      <c r="H19" s="2">
        <f>ROUNDUP(SUM(B19/12)*6,2)</f>
        <v>97.5</v>
      </c>
      <c r="I19" s="2">
        <f>ROUNDUP(SUM(B19/12)*5,2)</f>
        <v>81.25</v>
      </c>
      <c r="J19" s="2">
        <f>ROUNDUP(SUM(B19/12)*4,2)</f>
        <v>65</v>
      </c>
      <c r="K19" s="2">
        <f>ROUNDUP(SUM(B19/12)*3,2)</f>
        <v>48.75</v>
      </c>
      <c r="L19" s="2">
        <f>ROUNDUP(SUM(B19/12)*2,2)</f>
        <v>32.5</v>
      </c>
      <c r="M19" s="16">
        <f>ROUNDUP(SUM(B19/12)*1,2)</f>
        <v>16.25</v>
      </c>
    </row>
    <row r="20" spans="1:13" ht="15.95" customHeight="1" x14ac:dyDescent="0.2">
      <c r="A20" s="15" t="s">
        <v>17</v>
      </c>
      <c r="B20" s="2">
        <v>105</v>
      </c>
      <c r="C20" s="2">
        <f>B20</f>
        <v>105</v>
      </c>
      <c r="D20" s="2">
        <f>B20</f>
        <v>105</v>
      </c>
      <c r="E20" s="2">
        <f>B20</f>
        <v>105</v>
      </c>
      <c r="F20" s="2">
        <f>ROUNDUP(SUM(B20/2),2)</f>
        <v>52.5</v>
      </c>
      <c r="G20" s="2">
        <f>ROUNDUP(SUM(B20/2),2)</f>
        <v>52.5</v>
      </c>
      <c r="H20" s="2">
        <f>ROUNDUP(SUM(B20/2),2)</f>
        <v>52.5</v>
      </c>
      <c r="I20" s="2">
        <f>ROUNDUP(SUM(B20/2),2)</f>
        <v>52.5</v>
      </c>
      <c r="J20" s="2">
        <f>ROUNDUP(SUM(B20/2),2)</f>
        <v>52.5</v>
      </c>
      <c r="K20" s="2">
        <f>ROUNDUP(SUM(B20/2),2)</f>
        <v>52.5</v>
      </c>
      <c r="L20" s="2">
        <v>0</v>
      </c>
      <c r="M20" s="16">
        <v>0</v>
      </c>
    </row>
    <row r="21" spans="1:13" s="4" customFormat="1" ht="15.95" customHeight="1" thickBot="1" x14ac:dyDescent="0.3">
      <c r="A21" s="17" t="s">
        <v>20</v>
      </c>
      <c r="B21" s="18">
        <f>SUM(B19:B20)</f>
        <v>300</v>
      </c>
      <c r="C21" s="18">
        <f t="shared" ref="C21:M21" si="2">SUM(C19:C20)</f>
        <v>283.75</v>
      </c>
      <c r="D21" s="18">
        <f t="shared" si="2"/>
        <v>267.5</v>
      </c>
      <c r="E21" s="18">
        <f t="shared" si="2"/>
        <v>251.25</v>
      </c>
      <c r="F21" s="18">
        <f t="shared" si="2"/>
        <v>182.5</v>
      </c>
      <c r="G21" s="18">
        <f t="shared" si="2"/>
        <v>166.25</v>
      </c>
      <c r="H21" s="18">
        <f t="shared" si="2"/>
        <v>150</v>
      </c>
      <c r="I21" s="18">
        <f t="shared" si="2"/>
        <v>133.75</v>
      </c>
      <c r="J21" s="18">
        <f t="shared" si="2"/>
        <v>117.5</v>
      </c>
      <c r="K21" s="18">
        <f t="shared" si="2"/>
        <v>101.25</v>
      </c>
      <c r="L21" s="18">
        <f t="shared" si="2"/>
        <v>32.5</v>
      </c>
      <c r="M21" s="19">
        <f t="shared" si="2"/>
        <v>16.25</v>
      </c>
    </row>
    <row r="22" spans="1:13" customFormat="1" ht="15.95" customHeight="1" thickBot="1" x14ac:dyDescent="0.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 x14ac:dyDescent="0.2">
      <c r="A23" s="12"/>
      <c r="B23" s="13" t="s">
        <v>4</v>
      </c>
      <c r="C23" s="13" t="s">
        <v>5</v>
      </c>
      <c r="D23" s="13" t="s">
        <v>6</v>
      </c>
      <c r="E23" s="13" t="s">
        <v>7</v>
      </c>
      <c r="F23" s="13" t="s">
        <v>8</v>
      </c>
      <c r="G23" s="13" t="s">
        <v>9</v>
      </c>
      <c r="H23" s="13" t="s">
        <v>10</v>
      </c>
      <c r="I23" s="13" t="s">
        <v>11</v>
      </c>
      <c r="J23" s="13" t="s">
        <v>12</v>
      </c>
      <c r="K23" s="13" t="s">
        <v>13</v>
      </c>
      <c r="L23" s="13" t="s">
        <v>14</v>
      </c>
      <c r="M23" s="14" t="s">
        <v>15</v>
      </c>
    </row>
    <row r="24" spans="1:13" ht="15.95" customHeight="1" x14ac:dyDescent="0.2">
      <c r="A24" s="15" t="s">
        <v>16</v>
      </c>
      <c r="B24" s="2">
        <v>195</v>
      </c>
      <c r="C24" s="2">
        <f>ROUNDUP(SUM(B24/12)*11,2)</f>
        <v>178.75</v>
      </c>
      <c r="D24" s="2">
        <f>ROUNDUP(SUM(B24/12)*10,2)</f>
        <v>162.5</v>
      </c>
      <c r="E24" s="2">
        <f>ROUNDUP(SUM(B24/12)*9,2)</f>
        <v>146.25</v>
      </c>
      <c r="F24" s="2">
        <f>ROUNDUP(SUM(B24/12)*8,0)</f>
        <v>130</v>
      </c>
      <c r="G24" s="2">
        <f>ROUNDUP(SUM(B24/12)*7,2)</f>
        <v>113.75</v>
      </c>
      <c r="H24" s="2">
        <f>ROUNDUP(SUM(B24/12)*6,2)</f>
        <v>97.5</v>
      </c>
      <c r="I24" s="2">
        <f>ROUNDUP(SUM(B24/12)*5,2)</f>
        <v>81.25</v>
      </c>
      <c r="J24" s="2">
        <f>ROUNDUP(SUM(B24/12)*4,2)</f>
        <v>65</v>
      </c>
      <c r="K24" s="2">
        <f>ROUNDUP(SUM(B24/12)*3,2)</f>
        <v>48.75</v>
      </c>
      <c r="L24" s="2">
        <f>ROUNDUP(SUM(B24/12)*2,2)</f>
        <v>32.5</v>
      </c>
      <c r="M24" s="16">
        <f>ROUNDUP(SUM(B24/12)*1,2)</f>
        <v>16.25</v>
      </c>
    </row>
    <row r="25" spans="1:13" ht="15.95" customHeight="1" x14ac:dyDescent="0.2">
      <c r="A25" s="15" t="s">
        <v>24</v>
      </c>
      <c r="B25" s="2">
        <v>105</v>
      </c>
      <c r="C25" s="2">
        <f>ROUNDUP(SUM(B25/12)*11,2)</f>
        <v>96.25</v>
      </c>
      <c r="D25" s="2">
        <f>ROUNDUP(SUM(B25/12)*10,2)</f>
        <v>87.5</v>
      </c>
      <c r="E25" s="2">
        <f>ROUNDUP(SUM(B25/12)*9,2)</f>
        <v>78.75</v>
      </c>
      <c r="F25" s="2">
        <f>ROUNDUP(SUM(B25/12)*8,2)</f>
        <v>70</v>
      </c>
      <c r="G25" s="2">
        <f>ROUNDUP(SUM(B25/12)*7,2)</f>
        <v>61.25</v>
      </c>
      <c r="H25" s="2">
        <f>ROUNDUP(SUM(B25/12)*6,2)</f>
        <v>52.5</v>
      </c>
      <c r="I25" s="2">
        <f>ROUNDUP(SUM(B25/12)*5,2)</f>
        <v>43.75</v>
      </c>
      <c r="J25" s="2">
        <f>ROUNDUP(SUM(B25/12)*4,2)</f>
        <v>35</v>
      </c>
      <c r="K25" s="2">
        <f>ROUNDUP(SUM(B25/12)*3,2)</f>
        <v>26.25</v>
      </c>
      <c r="L25" s="2">
        <f>ROUNDUP(SUM(B25/12)*2,2)</f>
        <v>17.5</v>
      </c>
      <c r="M25" s="16">
        <f>ROUNDUP(SUM(B25/12)*1,2)</f>
        <v>8.75</v>
      </c>
    </row>
    <row r="26" spans="1:13" s="4" customFormat="1" ht="15.95" customHeight="1" thickBot="1" x14ac:dyDescent="0.3">
      <c r="A26" s="17" t="s">
        <v>27</v>
      </c>
      <c r="B26" s="18">
        <f>SUM(B24:B25)</f>
        <v>300</v>
      </c>
      <c r="C26" s="18">
        <f t="shared" ref="C26:M26" si="3">SUM(C24:C25)</f>
        <v>275</v>
      </c>
      <c r="D26" s="18">
        <f t="shared" si="3"/>
        <v>250</v>
      </c>
      <c r="E26" s="18">
        <f t="shared" si="3"/>
        <v>225</v>
      </c>
      <c r="F26" s="18">
        <f t="shared" si="3"/>
        <v>200</v>
      </c>
      <c r="G26" s="18">
        <f t="shared" si="3"/>
        <v>175</v>
      </c>
      <c r="H26" s="18">
        <f t="shared" si="3"/>
        <v>150</v>
      </c>
      <c r="I26" s="18">
        <f t="shared" si="3"/>
        <v>125</v>
      </c>
      <c r="J26" s="18">
        <f t="shared" si="3"/>
        <v>100</v>
      </c>
      <c r="K26" s="18">
        <f t="shared" si="3"/>
        <v>75</v>
      </c>
      <c r="L26" s="18">
        <f t="shared" si="3"/>
        <v>50</v>
      </c>
      <c r="M26" s="19">
        <f t="shared" si="3"/>
        <v>25</v>
      </c>
    </row>
    <row r="28" spans="1:13" customFormat="1" ht="15.75" thickBot="1" x14ac:dyDescent="0.3">
      <c r="A28" s="111" t="s">
        <v>60</v>
      </c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spans="1:13" x14ac:dyDescent="0.2">
      <c r="A29" s="12"/>
      <c r="B29" s="13" t="s">
        <v>4</v>
      </c>
      <c r="C29" s="13" t="s">
        <v>5</v>
      </c>
      <c r="D29" s="13" t="s">
        <v>6</v>
      </c>
      <c r="E29" s="13" t="s">
        <v>7</v>
      </c>
      <c r="F29" s="13" t="s">
        <v>8</v>
      </c>
      <c r="G29" s="13" t="s">
        <v>9</v>
      </c>
      <c r="H29" s="13" t="s">
        <v>10</v>
      </c>
      <c r="I29" s="13" t="s">
        <v>11</v>
      </c>
      <c r="J29" s="13" t="s">
        <v>12</v>
      </c>
      <c r="K29" s="13" t="s">
        <v>13</v>
      </c>
      <c r="L29" s="13" t="s">
        <v>14</v>
      </c>
      <c r="M29" s="14" t="s">
        <v>15</v>
      </c>
    </row>
    <row r="30" spans="1:13" ht="15.95" customHeight="1" x14ac:dyDescent="0.2">
      <c r="A30" s="15" t="s">
        <v>16</v>
      </c>
      <c r="B30" s="2">
        <v>195</v>
      </c>
      <c r="C30" s="2">
        <f>ROUNDUP(SUM(B30/12)*11,2)</f>
        <v>178.75</v>
      </c>
      <c r="D30" s="2">
        <f>ROUNDUP(SUM(B30/12)*10,2)</f>
        <v>162.5</v>
      </c>
      <c r="E30" s="2">
        <f>ROUNDUP(SUM(B30/12)*9,2)</f>
        <v>146.25</v>
      </c>
      <c r="F30" s="2">
        <f>ROUNDUP(SUM(B30/12)*8,0)</f>
        <v>130</v>
      </c>
      <c r="G30" s="2">
        <f>ROUNDUP(SUM(B30/12)*7,2)</f>
        <v>113.75</v>
      </c>
      <c r="H30" s="2">
        <f>ROUNDUP(SUM(B30/12)*6,2)</f>
        <v>97.5</v>
      </c>
      <c r="I30" s="2">
        <f>ROUNDUP(SUM(B30/12)*5,2)</f>
        <v>81.25</v>
      </c>
      <c r="J30" s="2">
        <f>ROUNDUP(SUM(B30/12)*4,2)</f>
        <v>65</v>
      </c>
      <c r="K30" s="2">
        <f>ROUNDUP(SUM(B30/12)*3,2)</f>
        <v>48.75</v>
      </c>
      <c r="L30" s="2">
        <f>ROUNDUP(SUM(B30/12)*2,2)</f>
        <v>32.5</v>
      </c>
      <c r="M30" s="16">
        <f>ROUNDUP(SUM(B30/12)*1,2)</f>
        <v>16.25</v>
      </c>
    </row>
    <row r="31" spans="1:13" ht="15.95" customHeight="1" x14ac:dyDescent="0.2">
      <c r="A31" s="15" t="s">
        <v>17</v>
      </c>
      <c r="B31" s="2">
        <v>181</v>
      </c>
      <c r="C31" s="2">
        <f>B31</f>
        <v>181</v>
      </c>
      <c r="D31" s="2">
        <f>B31</f>
        <v>181</v>
      </c>
      <c r="E31" s="2">
        <f>B31</f>
        <v>181</v>
      </c>
      <c r="F31" s="2">
        <f>ROUNDUP(SUM(B31/2),2)</f>
        <v>90.5</v>
      </c>
      <c r="G31" s="2">
        <f>ROUNDUP(SUM(B31/2),2)</f>
        <v>90.5</v>
      </c>
      <c r="H31" s="2">
        <f>ROUNDUP(SUM(B31/2),2)</f>
        <v>90.5</v>
      </c>
      <c r="I31" s="2">
        <f>ROUNDUP(SUM(B31/2),2)</f>
        <v>90.5</v>
      </c>
      <c r="J31" s="2">
        <f>ROUNDUP(SUM(B31/2),2)</f>
        <v>90.5</v>
      </c>
      <c r="K31" s="2">
        <f>ROUNDUP(SUM(B31/2),2)</f>
        <v>90.5</v>
      </c>
      <c r="L31" s="2">
        <v>0</v>
      </c>
      <c r="M31" s="16">
        <v>0</v>
      </c>
    </row>
    <row r="32" spans="1:13" s="4" customFormat="1" ht="15.95" customHeight="1" thickBot="1" x14ac:dyDescent="0.3">
      <c r="A32" s="17" t="s">
        <v>20</v>
      </c>
      <c r="B32" s="18">
        <f t="shared" ref="B32:M32" si="4">SUM(B30+B31)</f>
        <v>376</v>
      </c>
      <c r="C32" s="18">
        <f t="shared" si="4"/>
        <v>359.75</v>
      </c>
      <c r="D32" s="18">
        <f t="shared" si="4"/>
        <v>343.5</v>
      </c>
      <c r="E32" s="18">
        <f t="shared" si="4"/>
        <v>327.25</v>
      </c>
      <c r="F32" s="18">
        <f t="shared" si="4"/>
        <v>220.5</v>
      </c>
      <c r="G32" s="18">
        <f t="shared" si="4"/>
        <v>204.25</v>
      </c>
      <c r="H32" s="18">
        <f t="shared" si="4"/>
        <v>188</v>
      </c>
      <c r="I32" s="18">
        <f t="shared" si="4"/>
        <v>171.75</v>
      </c>
      <c r="J32" s="18">
        <f t="shared" si="4"/>
        <v>155.5</v>
      </c>
      <c r="K32" s="18">
        <f t="shared" si="4"/>
        <v>139.25</v>
      </c>
      <c r="L32" s="18">
        <f t="shared" si="4"/>
        <v>32.5</v>
      </c>
      <c r="M32" s="19">
        <f t="shared" si="4"/>
        <v>16.25</v>
      </c>
    </row>
    <row r="33" spans="1:13" customFormat="1" ht="15.95" customHeight="1" thickBot="1" x14ac:dyDescent="0.3">
      <c r="A33" s="7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x14ac:dyDescent="0.2">
      <c r="A34" s="12"/>
      <c r="B34" s="13" t="s">
        <v>4</v>
      </c>
      <c r="C34" s="13" t="s">
        <v>5</v>
      </c>
      <c r="D34" s="13" t="s">
        <v>6</v>
      </c>
      <c r="E34" s="13" t="s">
        <v>7</v>
      </c>
      <c r="F34" s="13" t="s">
        <v>8</v>
      </c>
      <c r="G34" s="13" t="s">
        <v>9</v>
      </c>
      <c r="H34" s="13" t="s">
        <v>10</v>
      </c>
      <c r="I34" s="13" t="s">
        <v>11</v>
      </c>
      <c r="J34" s="13" t="s">
        <v>12</v>
      </c>
      <c r="K34" s="13" t="s">
        <v>13</v>
      </c>
      <c r="L34" s="13" t="s">
        <v>14</v>
      </c>
      <c r="M34" s="14" t="s">
        <v>15</v>
      </c>
    </row>
    <row r="35" spans="1:13" ht="15.95" customHeight="1" x14ac:dyDescent="0.2">
      <c r="A35" s="15" t="s">
        <v>16</v>
      </c>
      <c r="B35" s="2">
        <v>195</v>
      </c>
      <c r="C35" s="2">
        <f>ROUNDUP(SUM(B35/12)*11,2)</f>
        <v>178.75</v>
      </c>
      <c r="D35" s="2">
        <f>ROUNDUP(SUM(B35/12)*10,2)</f>
        <v>162.5</v>
      </c>
      <c r="E35" s="2">
        <f>ROUNDUP(SUM(B35/12)*9,2)</f>
        <v>146.25</v>
      </c>
      <c r="F35" s="2">
        <f>ROUNDUP(SUM(B35/12)*8,0)</f>
        <v>130</v>
      </c>
      <c r="G35" s="2">
        <f>ROUNDUP(SUM(B35/12)*7,2)</f>
        <v>113.75</v>
      </c>
      <c r="H35" s="2">
        <f>ROUNDUP(SUM(B35/12)*6,2)</f>
        <v>97.5</v>
      </c>
      <c r="I35" s="2">
        <f>ROUNDUP(SUM(B35/12)*5,2)</f>
        <v>81.25</v>
      </c>
      <c r="J35" s="2">
        <f>ROUNDUP(SUM(B35/12)*4,2)</f>
        <v>65</v>
      </c>
      <c r="K35" s="2">
        <f>ROUNDUP(SUM(B35/12)*3,2)</f>
        <v>48.75</v>
      </c>
      <c r="L35" s="2">
        <f>ROUNDUP(SUM(B35/12)*2,2)</f>
        <v>32.5</v>
      </c>
      <c r="M35" s="16">
        <f>ROUNDUP(SUM(B35/12)*1,2)</f>
        <v>16.25</v>
      </c>
    </row>
    <row r="36" spans="1:13" ht="16.5" customHeight="1" x14ac:dyDescent="0.2">
      <c r="A36" s="15" t="s">
        <v>24</v>
      </c>
      <c r="B36" s="2">
        <v>60</v>
      </c>
      <c r="C36" s="2">
        <f>B36</f>
        <v>60</v>
      </c>
      <c r="D36" s="2">
        <f t="shared" ref="D36:M36" si="5">C36</f>
        <v>60</v>
      </c>
      <c r="E36" s="2">
        <f t="shared" si="5"/>
        <v>60</v>
      </c>
      <c r="F36" s="2">
        <f t="shared" si="5"/>
        <v>60</v>
      </c>
      <c r="G36" s="2">
        <f t="shared" si="5"/>
        <v>60</v>
      </c>
      <c r="H36" s="2">
        <f t="shared" si="5"/>
        <v>60</v>
      </c>
      <c r="I36" s="2">
        <f t="shared" si="5"/>
        <v>60</v>
      </c>
      <c r="J36" s="2">
        <f t="shared" si="5"/>
        <v>60</v>
      </c>
      <c r="K36" s="2">
        <f t="shared" si="5"/>
        <v>60</v>
      </c>
      <c r="L36" s="2">
        <f t="shared" si="5"/>
        <v>60</v>
      </c>
      <c r="M36" s="16">
        <f t="shared" si="5"/>
        <v>60</v>
      </c>
    </row>
    <row r="37" spans="1:13" s="4" customFormat="1" ht="15.95" customHeight="1" thickBot="1" x14ac:dyDescent="0.3">
      <c r="A37" s="17" t="s">
        <v>27</v>
      </c>
      <c r="B37" s="18">
        <f>SUM(B35:B36)</f>
        <v>255</v>
      </c>
      <c r="C37" s="18">
        <f t="shared" ref="C37:M37" si="6">SUM(C35:C36)</f>
        <v>238.75</v>
      </c>
      <c r="D37" s="18">
        <f t="shared" si="6"/>
        <v>222.5</v>
      </c>
      <c r="E37" s="18">
        <f t="shared" si="6"/>
        <v>206.25</v>
      </c>
      <c r="F37" s="18">
        <f t="shared" si="6"/>
        <v>190</v>
      </c>
      <c r="G37" s="18">
        <f t="shared" si="6"/>
        <v>173.75</v>
      </c>
      <c r="H37" s="18">
        <f t="shared" si="6"/>
        <v>157.5</v>
      </c>
      <c r="I37" s="18">
        <f t="shared" si="6"/>
        <v>141.25</v>
      </c>
      <c r="J37" s="18">
        <f t="shared" si="6"/>
        <v>125</v>
      </c>
      <c r="K37" s="18">
        <f t="shared" si="6"/>
        <v>108.75</v>
      </c>
      <c r="L37" s="18">
        <f t="shared" si="6"/>
        <v>92.5</v>
      </c>
      <c r="M37" s="19">
        <f t="shared" si="6"/>
        <v>76.25</v>
      </c>
    </row>
    <row r="39" spans="1:13" ht="12.75" x14ac:dyDescent="0.2">
      <c r="A39" s="104" t="s">
        <v>61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6"/>
      <c r="M39" s="106"/>
    </row>
    <row r="40" spans="1:13" ht="12.75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2.75" x14ac:dyDescent="0.2">
      <c r="A41" s="6" t="s">
        <v>62</v>
      </c>
    </row>
    <row r="42" spans="1:13" ht="12.75" x14ac:dyDescent="0.2">
      <c r="A42" s="5" t="s">
        <v>63</v>
      </c>
      <c r="B42" s="5"/>
      <c r="C42" s="5"/>
      <c r="D42" s="5"/>
      <c r="E42" s="5"/>
      <c r="F42" s="5"/>
      <c r="G42" s="5"/>
      <c r="H42" s="5"/>
      <c r="I42" s="5"/>
      <c r="J42" s="5"/>
      <c r="K42" s="5"/>
      <c r="M42" s="25">
        <v>160</v>
      </c>
    </row>
    <row r="43" spans="1:13" ht="12.75" x14ac:dyDescent="0.2">
      <c r="A43" s="5"/>
      <c r="B43" s="6" t="s">
        <v>37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12.75" x14ac:dyDescent="0.2">
      <c r="A44" s="5" t="s">
        <v>64</v>
      </c>
      <c r="B44" s="5"/>
      <c r="C44" s="5"/>
      <c r="D44" s="5"/>
      <c r="E44" s="5"/>
      <c r="F44" s="5"/>
      <c r="G44" s="5"/>
      <c r="H44" s="5"/>
      <c r="I44" s="5"/>
      <c r="J44" s="5"/>
      <c r="K44" s="5"/>
      <c r="M44" s="25">
        <v>350</v>
      </c>
    </row>
    <row r="45" spans="1:13" ht="12.75" x14ac:dyDescent="0.2">
      <c r="A45" s="5" t="s">
        <v>65</v>
      </c>
      <c r="B45" s="5"/>
      <c r="C45" s="5"/>
      <c r="D45" s="5"/>
      <c r="E45" s="5"/>
      <c r="F45" s="5"/>
      <c r="G45" s="5"/>
      <c r="H45" s="5"/>
      <c r="I45" s="5"/>
      <c r="J45" s="5"/>
      <c r="K45" s="5"/>
      <c r="M45" s="25">
        <v>100</v>
      </c>
    </row>
    <row r="46" spans="1:13" ht="12.75" x14ac:dyDescent="0.2">
      <c r="A46" s="5" t="s">
        <v>42</v>
      </c>
      <c r="B46" s="5"/>
      <c r="C46" s="5"/>
      <c r="D46" s="5"/>
      <c r="E46" s="5"/>
      <c r="F46" s="5"/>
      <c r="G46" s="5"/>
      <c r="H46" s="5"/>
      <c r="I46" s="5"/>
      <c r="J46" s="5"/>
      <c r="K46" s="5"/>
      <c r="M46" s="25">
        <v>10</v>
      </c>
    </row>
    <row r="47" spans="1:13" ht="12.7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M47" s="25"/>
    </row>
    <row r="48" spans="1:13" ht="12.75" x14ac:dyDescent="0.2">
      <c r="A48" s="5" t="s">
        <v>66</v>
      </c>
      <c r="B48" s="5"/>
      <c r="C48" s="5"/>
      <c r="D48" s="5"/>
      <c r="E48" s="5"/>
      <c r="F48" s="5"/>
      <c r="G48" s="5"/>
      <c r="H48" s="5"/>
      <c r="I48" s="5"/>
      <c r="J48" s="5"/>
      <c r="K48" s="5"/>
      <c r="M48" s="25"/>
    </row>
    <row r="49" spans="1:13" ht="12.75" x14ac:dyDescent="0.2">
      <c r="A49" s="5" t="s">
        <v>67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12.75" x14ac:dyDescent="0.2">
      <c r="A50" s="5" t="s">
        <v>68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12.75" x14ac:dyDescent="0.2">
      <c r="A51" s="5" t="s">
        <v>69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2.75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2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</sheetData>
  <mergeCells count="7">
    <mergeCell ref="A39:M39"/>
    <mergeCell ref="A8:M8"/>
    <mergeCell ref="A15:M15"/>
    <mergeCell ref="A2:M2"/>
    <mergeCell ref="A10:M10"/>
    <mergeCell ref="A17:M17"/>
    <mergeCell ref="A28:M28"/>
  </mergeCells>
  <pageMargins left="0.33" right="0.3" top="0.91" bottom="0.22" header="0.41" footer="0.21"/>
  <pageSetup scale="84" orientation="portrait" r:id="rId1"/>
  <headerFooter>
    <oddHeader xml:space="preserve">&amp;C&amp;"-,Bold"&amp;14PEN-MAR REGIONAL ASSOCIATION OF REALTORS
2013 DUES SCHEDULE&amp;"-,Regular"&amp;11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workbookViewId="0">
      <selection activeCell="V24" sqref="V24"/>
    </sheetView>
  </sheetViews>
  <sheetFormatPr defaultRowHeight="15" x14ac:dyDescent="0.25"/>
  <cols>
    <col min="1" max="1" width="14.85546875" customWidth="1"/>
    <col min="2" max="2" width="11.42578125" customWidth="1"/>
  </cols>
  <sheetData>
    <row r="1" spans="1:13" ht="15.75" thickBot="1" x14ac:dyDescent="0.3">
      <c r="A1" s="111" t="s">
        <v>70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</row>
    <row r="2" spans="1:13" s="1" customFormat="1" ht="12" x14ac:dyDescent="0.2">
      <c r="A2" s="12"/>
      <c r="B2" s="13" t="s">
        <v>4</v>
      </c>
      <c r="C2" s="13" t="s">
        <v>5</v>
      </c>
      <c r="D2" s="13" t="s">
        <v>6</v>
      </c>
      <c r="E2" s="13" t="s">
        <v>7</v>
      </c>
      <c r="F2" s="13" t="s">
        <v>8</v>
      </c>
      <c r="G2" s="13" t="s">
        <v>9</v>
      </c>
      <c r="H2" s="13" t="s">
        <v>10</v>
      </c>
      <c r="I2" s="13" t="s">
        <v>11</v>
      </c>
      <c r="J2" s="13" t="s">
        <v>12</v>
      </c>
      <c r="K2" s="13" t="s">
        <v>13</v>
      </c>
      <c r="L2" s="13" t="s">
        <v>14</v>
      </c>
      <c r="M2" s="14" t="s">
        <v>15</v>
      </c>
    </row>
    <row r="3" spans="1:13" s="1" customFormat="1" x14ac:dyDescent="0.2">
      <c r="A3" s="58" t="s">
        <v>71</v>
      </c>
      <c r="B3" s="57">
        <v>195</v>
      </c>
      <c r="C3" s="2">
        <f t="shared" ref="C3:C5" si="0">ROUNDUP(SUM(B3/12)*11,2)</f>
        <v>178.75</v>
      </c>
      <c r="D3" s="2">
        <f t="shared" ref="D3:D5" si="1">ROUNDUP(SUM(B3/12)*10,2)</f>
        <v>162.5</v>
      </c>
      <c r="E3" s="2">
        <f t="shared" ref="E3:E5" si="2">ROUNDUP(SUM(B3/12)*9,2)</f>
        <v>146.25</v>
      </c>
      <c r="F3" s="2">
        <f t="shared" ref="F3:F5" si="3">ROUNDUP(SUM(B3/12)*8,0)</f>
        <v>130</v>
      </c>
      <c r="G3" s="2">
        <f t="shared" ref="G3:G5" si="4">ROUNDUP(SUM(B3/12)*7,2)</f>
        <v>113.75</v>
      </c>
      <c r="H3" s="2">
        <f t="shared" ref="H3:H5" si="5">ROUNDUP(SUM(B3/12)*6,2)</f>
        <v>97.5</v>
      </c>
      <c r="I3" s="2">
        <f t="shared" ref="I3:I5" si="6">ROUNDUP(SUM(B3/12)*5,2)</f>
        <v>81.25</v>
      </c>
      <c r="J3" s="2">
        <f t="shared" ref="J3:J5" si="7">ROUNDUP(SUM(B3/12)*4,2)</f>
        <v>65</v>
      </c>
      <c r="K3" s="2">
        <f t="shared" ref="K3:K5" si="8">ROUNDUP(SUM(B3/12)*3,2)</f>
        <v>48.75</v>
      </c>
      <c r="L3" s="2">
        <f t="shared" ref="L3:L5" si="9">ROUNDUP(SUM(B3/12)*2,2)</f>
        <v>32.5</v>
      </c>
      <c r="M3" s="16">
        <f t="shared" ref="M3:M5" si="10">ROUNDUP(SUM(B3/12)*1,2)</f>
        <v>16.25</v>
      </c>
    </row>
    <row r="4" spans="1:13" s="1" customFormat="1" x14ac:dyDescent="0.2">
      <c r="A4" s="58" t="s">
        <v>72</v>
      </c>
      <c r="B4" s="57">
        <v>350</v>
      </c>
      <c r="C4" s="2">
        <f t="shared" si="0"/>
        <v>320.83999999999997</v>
      </c>
      <c r="D4" s="2">
        <f t="shared" si="1"/>
        <v>291.67</v>
      </c>
      <c r="E4" s="2">
        <f t="shared" si="2"/>
        <v>262.5</v>
      </c>
      <c r="F4" s="2">
        <f t="shared" si="3"/>
        <v>234</v>
      </c>
      <c r="G4" s="2">
        <f t="shared" si="4"/>
        <v>204.17</v>
      </c>
      <c r="H4" s="2">
        <f t="shared" si="5"/>
        <v>175</v>
      </c>
      <c r="I4" s="2">
        <f t="shared" si="6"/>
        <v>145.84</v>
      </c>
      <c r="J4" s="2">
        <f t="shared" si="7"/>
        <v>116.67</v>
      </c>
      <c r="K4" s="2">
        <f t="shared" si="8"/>
        <v>87.5</v>
      </c>
      <c r="L4" s="2">
        <f t="shared" si="9"/>
        <v>58.339999999999996</v>
      </c>
      <c r="M4" s="16">
        <f t="shared" si="10"/>
        <v>29.17</v>
      </c>
    </row>
    <row r="5" spans="1:13" s="1" customFormat="1" x14ac:dyDescent="0.2">
      <c r="A5" s="58" t="s">
        <v>73</v>
      </c>
      <c r="B5" s="57">
        <v>500</v>
      </c>
      <c r="C5" s="2">
        <f t="shared" si="0"/>
        <v>458.34</v>
      </c>
      <c r="D5" s="2">
        <f t="shared" si="1"/>
        <v>416.67</v>
      </c>
      <c r="E5" s="2">
        <f t="shared" si="2"/>
        <v>375</v>
      </c>
      <c r="F5" s="2">
        <f t="shared" si="3"/>
        <v>334</v>
      </c>
      <c r="G5" s="2">
        <f t="shared" si="4"/>
        <v>291.67</v>
      </c>
      <c r="H5" s="2">
        <f t="shared" si="5"/>
        <v>250</v>
      </c>
      <c r="I5" s="2">
        <f t="shared" si="6"/>
        <v>208.34</v>
      </c>
      <c r="J5" s="2">
        <f t="shared" si="7"/>
        <v>166.67</v>
      </c>
      <c r="K5" s="2">
        <f t="shared" si="8"/>
        <v>125</v>
      </c>
      <c r="L5" s="2">
        <f t="shared" si="9"/>
        <v>83.34</v>
      </c>
      <c r="M5" s="16">
        <f t="shared" si="10"/>
        <v>41.669999999999995</v>
      </c>
    </row>
    <row r="6" spans="1:13" s="1" customFormat="1" ht="15.95" customHeight="1" x14ac:dyDescent="0.2">
      <c r="A6" s="58" t="s">
        <v>74</v>
      </c>
      <c r="B6" s="57">
        <v>1000</v>
      </c>
      <c r="C6" s="2">
        <f>ROUNDUP(SUM(B6/12)*11,2)</f>
        <v>916.67</v>
      </c>
      <c r="D6" s="2">
        <f>ROUNDUP(SUM(B6/12)*10,2)</f>
        <v>833.34</v>
      </c>
      <c r="E6" s="2">
        <f>ROUNDUP(SUM(B6/12)*9,2)</f>
        <v>750</v>
      </c>
      <c r="F6" s="2">
        <f>ROUNDUP(SUM(B6/12)*8,0)</f>
        <v>667</v>
      </c>
      <c r="G6" s="2">
        <f>ROUNDUP(SUM(B6/12)*7,2)</f>
        <v>583.34</v>
      </c>
      <c r="H6" s="2">
        <f>ROUNDUP(SUM(B6/12)*6,2)</f>
        <v>500</v>
      </c>
      <c r="I6" s="2">
        <f>ROUNDUP(SUM(B6/12)*5,2)</f>
        <v>416.67</v>
      </c>
      <c r="J6" s="2">
        <f>ROUNDUP(SUM(B6/12)*4,2)</f>
        <v>333.34</v>
      </c>
      <c r="K6" s="2">
        <f>ROUNDUP(SUM(B6/12)*3,2)</f>
        <v>250</v>
      </c>
      <c r="L6" s="2">
        <f>ROUNDUP(SUM(B6/12)*2,2)</f>
        <v>166.67</v>
      </c>
      <c r="M6" s="16">
        <f>ROUNDUP(SUM(B6/12)*1,2)</f>
        <v>83.34</v>
      </c>
    </row>
    <row r="7" spans="1:13" s="1" customFormat="1" ht="15.95" customHeight="1" x14ac:dyDescent="0.2">
      <c r="A7" s="59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1"/>
    </row>
    <row r="8" spans="1:13" s="4" customFormat="1" ht="48.75" customHeight="1" thickBot="1" x14ac:dyDescent="0.3">
      <c r="A8" s="17" t="s">
        <v>75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9"/>
    </row>
    <row r="9" spans="1:13" s="4" customFormat="1" ht="48.75" customHeight="1" x14ac:dyDescent="0.25">
      <c r="A9" s="7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 ht="15.75" thickBot="1" x14ac:dyDescent="0.3">
      <c r="A10" s="111" t="s">
        <v>76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</row>
    <row r="11" spans="1:13" s="1" customFormat="1" ht="12" x14ac:dyDescent="0.2">
      <c r="A11" s="12"/>
      <c r="B11" s="13" t="s">
        <v>4</v>
      </c>
      <c r="C11" s="13" t="s">
        <v>5</v>
      </c>
      <c r="D11" s="13" t="s">
        <v>6</v>
      </c>
      <c r="E11" s="13" t="s">
        <v>7</v>
      </c>
      <c r="F11" s="13" t="s">
        <v>8</v>
      </c>
      <c r="G11" s="13" t="s">
        <v>9</v>
      </c>
      <c r="H11" s="13" t="s">
        <v>10</v>
      </c>
      <c r="I11" s="13" t="s">
        <v>11</v>
      </c>
      <c r="J11" s="13" t="s">
        <v>12</v>
      </c>
      <c r="K11" s="13" t="s">
        <v>13</v>
      </c>
      <c r="L11" s="13" t="s">
        <v>14</v>
      </c>
      <c r="M11" s="14" t="s">
        <v>15</v>
      </c>
    </row>
    <row r="12" spans="1:13" s="1" customFormat="1" ht="15.95" customHeight="1" x14ac:dyDescent="0.2">
      <c r="A12" s="58" t="s">
        <v>71</v>
      </c>
      <c r="B12" s="62">
        <v>350</v>
      </c>
      <c r="C12" s="2">
        <f t="shared" ref="C12:C14" si="11">ROUNDUP(SUM(B12/12)*11,2)</f>
        <v>320.83999999999997</v>
      </c>
      <c r="D12" s="2">
        <f t="shared" ref="D12:D14" si="12">ROUNDUP(SUM(B12/12)*10,2)</f>
        <v>291.67</v>
      </c>
      <c r="E12" s="2">
        <f t="shared" ref="E12:E14" si="13">ROUNDUP(SUM(B12/12)*9,2)</f>
        <v>262.5</v>
      </c>
      <c r="F12" s="2">
        <f t="shared" ref="F12:F14" si="14">ROUNDUP(SUM(B12/12)*8,0)</f>
        <v>234</v>
      </c>
      <c r="G12" s="2">
        <f t="shared" ref="G12:G14" si="15">ROUNDUP(SUM(B12/12)*7,2)</f>
        <v>204.17</v>
      </c>
      <c r="H12" s="2">
        <f t="shared" ref="H12:H14" si="16">ROUNDUP(SUM(B12/12)*6,2)</f>
        <v>175</v>
      </c>
      <c r="I12" s="2">
        <f t="shared" ref="I12:I14" si="17">ROUNDUP(SUM(B12/12)*5,2)</f>
        <v>145.84</v>
      </c>
      <c r="J12" s="2">
        <f t="shared" ref="J12:J14" si="18">ROUNDUP(SUM(B12/12)*4,2)</f>
        <v>116.67</v>
      </c>
      <c r="K12" s="2">
        <f t="shared" ref="K12:K14" si="19">ROUNDUP(SUM(B12/12)*3,2)</f>
        <v>87.5</v>
      </c>
      <c r="L12" s="2">
        <f t="shared" ref="L12:L14" si="20">ROUNDUP(SUM(B12/12)*2,2)</f>
        <v>58.339999999999996</v>
      </c>
      <c r="M12" s="16">
        <f t="shared" ref="M12:M14" si="21">ROUNDUP(SUM(B12/12)*1,2)</f>
        <v>29.17</v>
      </c>
    </row>
    <row r="13" spans="1:13" s="1" customFormat="1" ht="16.5" customHeight="1" x14ac:dyDescent="0.2">
      <c r="A13" s="58" t="s">
        <v>72</v>
      </c>
      <c r="B13" s="62">
        <v>750</v>
      </c>
      <c r="C13" s="2">
        <f t="shared" si="11"/>
        <v>687.5</v>
      </c>
      <c r="D13" s="2">
        <f t="shared" si="12"/>
        <v>625</v>
      </c>
      <c r="E13" s="2">
        <f t="shared" si="13"/>
        <v>562.5</v>
      </c>
      <c r="F13" s="2">
        <f t="shared" si="14"/>
        <v>500</v>
      </c>
      <c r="G13" s="2">
        <f t="shared" si="15"/>
        <v>437.5</v>
      </c>
      <c r="H13" s="2">
        <f t="shared" si="16"/>
        <v>375</v>
      </c>
      <c r="I13" s="2">
        <f t="shared" si="17"/>
        <v>312.5</v>
      </c>
      <c r="J13" s="2">
        <f t="shared" si="18"/>
        <v>250</v>
      </c>
      <c r="K13" s="2">
        <f t="shared" si="19"/>
        <v>187.5</v>
      </c>
      <c r="L13" s="2">
        <f t="shared" si="20"/>
        <v>125</v>
      </c>
      <c r="M13" s="16">
        <f t="shared" si="21"/>
        <v>62.5</v>
      </c>
    </row>
    <row r="14" spans="1:13" s="4" customFormat="1" ht="15.95" customHeight="1" x14ac:dyDescent="0.25">
      <c r="A14" s="58" t="s">
        <v>73</v>
      </c>
      <c r="B14" s="62">
        <v>1000</v>
      </c>
      <c r="C14" s="2">
        <f t="shared" si="11"/>
        <v>916.67</v>
      </c>
      <c r="D14" s="2">
        <f t="shared" si="12"/>
        <v>833.34</v>
      </c>
      <c r="E14" s="2">
        <f t="shared" si="13"/>
        <v>750</v>
      </c>
      <c r="F14" s="2">
        <f t="shared" si="14"/>
        <v>667</v>
      </c>
      <c r="G14" s="2">
        <f t="shared" si="15"/>
        <v>583.34</v>
      </c>
      <c r="H14" s="2">
        <f t="shared" si="16"/>
        <v>500</v>
      </c>
      <c r="I14" s="2">
        <f t="shared" si="17"/>
        <v>416.67</v>
      </c>
      <c r="J14" s="2">
        <f t="shared" si="18"/>
        <v>333.34</v>
      </c>
      <c r="K14" s="2">
        <f t="shared" si="19"/>
        <v>250</v>
      </c>
      <c r="L14" s="2">
        <f t="shared" si="20"/>
        <v>166.67</v>
      </c>
      <c r="M14" s="16">
        <f t="shared" si="21"/>
        <v>83.34</v>
      </c>
    </row>
    <row r="15" spans="1:13" s="1" customFormat="1" x14ac:dyDescent="0.2">
      <c r="A15" s="58" t="s">
        <v>74</v>
      </c>
      <c r="B15" s="62">
        <v>1500</v>
      </c>
      <c r="C15" s="2">
        <f>ROUNDUP(SUM(B15/12)*11,2)</f>
        <v>1375</v>
      </c>
      <c r="D15" s="2">
        <f>ROUNDUP(SUM(B15/12)*10,2)</f>
        <v>1250</v>
      </c>
      <c r="E15" s="2">
        <f>ROUNDUP(SUM(B15/12)*9,2)</f>
        <v>1125</v>
      </c>
      <c r="F15" s="2">
        <f>ROUNDUP(SUM(B15/12)*8,0)</f>
        <v>1000</v>
      </c>
      <c r="G15" s="2">
        <f>ROUNDUP(SUM(B15/12)*7,2)</f>
        <v>875</v>
      </c>
      <c r="H15" s="2">
        <f>ROUNDUP(SUM(B15/12)*6,2)</f>
        <v>750</v>
      </c>
      <c r="I15" s="2">
        <f>ROUNDUP(SUM(B15/12)*5,2)</f>
        <v>625</v>
      </c>
      <c r="J15" s="2">
        <f>ROUNDUP(SUM(B15/12)*4,2)</f>
        <v>500</v>
      </c>
      <c r="K15" s="2">
        <f>ROUNDUP(SUM(B15/12)*3,2)</f>
        <v>375</v>
      </c>
      <c r="L15" s="2">
        <f>ROUNDUP(SUM(B15/12)*2,2)</f>
        <v>250</v>
      </c>
      <c r="M15" s="16">
        <f>ROUNDUP(SUM(B15/12)*1,2)</f>
        <v>125</v>
      </c>
    </row>
    <row r="16" spans="1:13" s="1" customFormat="1" ht="12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3" ht="45.75" thickBot="1" x14ac:dyDescent="0.3">
      <c r="A17" s="17" t="s">
        <v>77</v>
      </c>
      <c r="B17" s="18">
        <v>60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9"/>
    </row>
  </sheetData>
  <mergeCells count="2">
    <mergeCell ref="A1:M1"/>
    <mergeCell ref="A10:M10"/>
  </mergeCells>
  <pageMargins left="0.7" right="0.7" top="0.75" bottom="0.75" header="0.3" footer="0.3"/>
  <pageSetup scale="96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0"/>
  <sheetViews>
    <sheetView tabSelected="1" topLeftCell="A9" workbookViewId="0">
      <selection activeCell="D35" sqref="D35"/>
    </sheetView>
  </sheetViews>
  <sheetFormatPr defaultRowHeight="15" x14ac:dyDescent="0.25"/>
  <cols>
    <col min="1" max="1" width="73.28515625" customWidth="1"/>
    <col min="2" max="12" width="12.5703125" customWidth="1"/>
    <col min="13" max="13" width="12.5703125" style="97" customWidth="1"/>
    <col min="14" max="14" width="15.42578125" customWidth="1"/>
  </cols>
  <sheetData>
    <row r="1" spans="1:13" ht="42" customHeight="1" x14ac:dyDescent="0.25">
      <c r="A1" s="141" t="s">
        <v>78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</row>
    <row r="2" spans="1:13" ht="19.5" x14ac:dyDescent="0.3">
      <c r="A2" s="144" t="s">
        <v>95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</row>
    <row r="3" spans="1:13" ht="19.5" x14ac:dyDescent="0.3">
      <c r="A3" s="210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2"/>
    </row>
    <row r="4" spans="1:13" ht="19.5" x14ac:dyDescent="0.3">
      <c r="A4" s="147" t="s">
        <v>99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9"/>
    </row>
    <row r="5" spans="1:13" ht="20.25" thickBot="1" x14ac:dyDescent="0.35">
      <c r="A5" s="150" t="s">
        <v>79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2"/>
    </row>
    <row r="6" spans="1:13" ht="20.25" thickBot="1" x14ac:dyDescent="0.3">
      <c r="A6" s="113"/>
      <c r="B6" s="114" t="s">
        <v>4</v>
      </c>
      <c r="C6" s="114" t="s">
        <v>5</v>
      </c>
      <c r="D6" s="114" t="s">
        <v>6</v>
      </c>
      <c r="E6" s="114" t="s">
        <v>7</v>
      </c>
      <c r="F6" s="114" t="s">
        <v>8</v>
      </c>
      <c r="G6" s="114" t="s">
        <v>9</v>
      </c>
      <c r="H6" s="114" t="s">
        <v>10</v>
      </c>
      <c r="I6" s="114" t="s">
        <v>80</v>
      </c>
      <c r="J6" s="114" t="s">
        <v>12</v>
      </c>
      <c r="K6" s="114" t="s">
        <v>81</v>
      </c>
      <c r="L6" s="114" t="s">
        <v>14</v>
      </c>
      <c r="M6" s="153" t="s">
        <v>15</v>
      </c>
    </row>
    <row r="7" spans="1:13" ht="19.5" x14ac:dyDescent="0.25">
      <c r="A7" s="115" t="s">
        <v>82</v>
      </c>
      <c r="B7" s="116">
        <v>360</v>
      </c>
      <c r="C7" s="116">
        <v>330</v>
      </c>
      <c r="D7" s="116">
        <v>300</v>
      </c>
      <c r="E7" s="116">
        <v>270</v>
      </c>
      <c r="F7" s="116">
        <v>240</v>
      </c>
      <c r="G7" s="116">
        <v>210</v>
      </c>
      <c r="H7" s="116">
        <v>180</v>
      </c>
      <c r="I7" s="116">
        <v>150</v>
      </c>
      <c r="J7" s="116">
        <v>120</v>
      </c>
      <c r="K7" s="116">
        <v>90</v>
      </c>
      <c r="L7" s="116">
        <v>60</v>
      </c>
      <c r="M7" s="154">
        <v>30</v>
      </c>
    </row>
    <row r="8" spans="1:13" ht="19.5" x14ac:dyDescent="0.25">
      <c r="A8" s="117" t="s">
        <v>83</v>
      </c>
      <c r="B8" s="118">
        <v>227</v>
      </c>
      <c r="C8" s="118">
        <v>227</v>
      </c>
      <c r="D8" s="118">
        <v>227</v>
      </c>
      <c r="E8" s="118">
        <v>227</v>
      </c>
      <c r="F8" s="118">
        <v>113.5</v>
      </c>
      <c r="G8" s="118">
        <v>113.5</v>
      </c>
      <c r="H8" s="118">
        <v>113.5</v>
      </c>
      <c r="I8" s="118">
        <v>113.5</v>
      </c>
      <c r="J8" s="118">
        <v>113.5</v>
      </c>
      <c r="K8" s="118">
        <v>113.5</v>
      </c>
      <c r="L8" s="118">
        <v>113.5</v>
      </c>
      <c r="M8" s="155">
        <v>113.5</v>
      </c>
    </row>
    <row r="9" spans="1:13" ht="19.5" customHeight="1" x14ac:dyDescent="0.25">
      <c r="A9" s="119" t="s">
        <v>84</v>
      </c>
      <c r="B9" s="120">
        <v>45</v>
      </c>
      <c r="C9" s="120">
        <v>45</v>
      </c>
      <c r="D9" s="120">
        <v>45</v>
      </c>
      <c r="E9" s="120">
        <v>45</v>
      </c>
      <c r="F9" s="120">
        <v>45</v>
      </c>
      <c r="G9" s="120">
        <v>45</v>
      </c>
      <c r="H9" s="120">
        <v>45</v>
      </c>
      <c r="I9" s="120">
        <v>45</v>
      </c>
      <c r="J9" s="120">
        <v>45</v>
      </c>
      <c r="K9" s="120">
        <v>45</v>
      </c>
      <c r="L9" s="120">
        <v>45</v>
      </c>
      <c r="M9" s="156">
        <v>45</v>
      </c>
    </row>
    <row r="10" spans="1:13" ht="20.25" thickBot="1" x14ac:dyDescent="0.3">
      <c r="A10" s="121" t="s">
        <v>85</v>
      </c>
      <c r="B10" s="122">
        <v>150</v>
      </c>
      <c r="C10" s="122">
        <f>ROUNDUP(SUM((B10)/12)*11,2)</f>
        <v>137.5</v>
      </c>
      <c r="D10" s="122">
        <f>ROUNDUP(SUM((B10)/12)*10,2)</f>
        <v>125</v>
      </c>
      <c r="E10" s="122">
        <f>ROUNDUP(SUM((B10)/12)*9,2)</f>
        <v>112.5</v>
      </c>
      <c r="F10" s="122">
        <f>ROUNDUP(SUM((B10)/12)*8,2)</f>
        <v>100</v>
      </c>
      <c r="G10" s="122">
        <f>ROUNDUP(SUM((B10)/12)*7,2)</f>
        <v>87.5</v>
      </c>
      <c r="H10" s="122">
        <f>ROUNDUP(SUM((B10)/12)*6,2)</f>
        <v>75</v>
      </c>
      <c r="I10" s="122">
        <f>ROUNDUP(SUM((B10)/12)*5,2)</f>
        <v>62.5</v>
      </c>
      <c r="J10" s="122">
        <f>ROUNDUP(SUM((B10)/12)*4,2)</f>
        <v>50</v>
      </c>
      <c r="K10" s="122">
        <f>ROUNDUP(SUM((B10)/12)*3,2)</f>
        <v>37.5</v>
      </c>
      <c r="L10" s="122">
        <f>ROUNDUP(SUM((B10)/12)*2,2)</f>
        <v>25</v>
      </c>
      <c r="M10" s="157">
        <f>ROUNDUP(SUM((B10)/12)*1,2)</f>
        <v>12.5</v>
      </c>
    </row>
    <row r="11" spans="1:13" ht="20.25" thickBot="1" x14ac:dyDescent="0.3">
      <c r="A11" s="123" t="s">
        <v>20</v>
      </c>
      <c r="B11" s="124">
        <f xml:space="preserve"> SUM(B7:B10)</f>
        <v>782</v>
      </c>
      <c r="C11" s="124">
        <f t="shared" ref="C11:M11" si="0" xml:space="preserve"> SUM(C7:C10)</f>
        <v>739.5</v>
      </c>
      <c r="D11" s="124">
        <f t="shared" si="0"/>
        <v>697</v>
      </c>
      <c r="E11" s="124">
        <f t="shared" si="0"/>
        <v>654.5</v>
      </c>
      <c r="F11" s="124">
        <f t="shared" si="0"/>
        <v>498.5</v>
      </c>
      <c r="G11" s="124">
        <f t="shared" si="0"/>
        <v>456</v>
      </c>
      <c r="H11" s="124">
        <f t="shared" si="0"/>
        <v>413.5</v>
      </c>
      <c r="I11" s="124">
        <f t="shared" si="0"/>
        <v>371</v>
      </c>
      <c r="J11" s="124">
        <f t="shared" si="0"/>
        <v>328.5</v>
      </c>
      <c r="K11" s="124">
        <f t="shared" si="0"/>
        <v>286</v>
      </c>
      <c r="L11" s="124">
        <f t="shared" si="0"/>
        <v>243.5</v>
      </c>
      <c r="M11" s="158">
        <f t="shared" si="0"/>
        <v>201</v>
      </c>
    </row>
    <row r="12" spans="1:13" ht="21" customHeight="1" x14ac:dyDescent="0.25">
      <c r="A12" s="159" t="s">
        <v>86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1"/>
    </row>
    <row r="13" spans="1:13" ht="15" customHeight="1" x14ac:dyDescent="0.25">
      <c r="A13" s="162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4"/>
    </row>
    <row r="14" spans="1:13" ht="19.5" x14ac:dyDescent="0.3">
      <c r="A14" s="204" t="s">
        <v>100</v>
      </c>
      <c r="B14" s="125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65"/>
    </row>
    <row r="15" spans="1:13" ht="20.25" thickBot="1" x14ac:dyDescent="0.35">
      <c r="A15" s="166" t="s">
        <v>87</v>
      </c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8"/>
    </row>
    <row r="16" spans="1:13" ht="20.25" thickBot="1" x14ac:dyDescent="0.3">
      <c r="A16" s="126"/>
      <c r="B16" s="127" t="s">
        <v>4</v>
      </c>
      <c r="C16" s="127" t="s">
        <v>5</v>
      </c>
      <c r="D16" s="127" t="s">
        <v>6</v>
      </c>
      <c r="E16" s="127" t="s">
        <v>7</v>
      </c>
      <c r="F16" s="127" t="s">
        <v>8</v>
      </c>
      <c r="G16" s="127" t="s">
        <v>9</v>
      </c>
      <c r="H16" s="127" t="s">
        <v>10</v>
      </c>
      <c r="I16" s="127" t="s">
        <v>80</v>
      </c>
      <c r="J16" s="127" t="s">
        <v>12</v>
      </c>
      <c r="K16" s="127" t="s">
        <v>81</v>
      </c>
      <c r="L16" s="127" t="s">
        <v>14</v>
      </c>
      <c r="M16" s="169" t="s">
        <v>15</v>
      </c>
    </row>
    <row r="17" spans="1:13" ht="19.5" x14ac:dyDescent="0.25">
      <c r="A17" s="128" t="s">
        <v>82</v>
      </c>
      <c r="B17" s="129">
        <v>360</v>
      </c>
      <c r="C17" s="129">
        <v>330</v>
      </c>
      <c r="D17" s="129">
        <v>300</v>
      </c>
      <c r="E17" s="129">
        <v>270</v>
      </c>
      <c r="F17" s="129">
        <v>240</v>
      </c>
      <c r="G17" s="129">
        <v>210</v>
      </c>
      <c r="H17" s="129">
        <v>180</v>
      </c>
      <c r="I17" s="129">
        <v>150</v>
      </c>
      <c r="J17" s="129">
        <v>120</v>
      </c>
      <c r="K17" s="129">
        <v>90</v>
      </c>
      <c r="L17" s="129">
        <v>60</v>
      </c>
      <c r="M17" s="170">
        <v>30</v>
      </c>
    </row>
    <row r="18" spans="1:13" ht="19.5" x14ac:dyDescent="0.25">
      <c r="A18" s="130" t="s">
        <v>88</v>
      </c>
      <c r="B18" s="131">
        <v>150</v>
      </c>
      <c r="C18" s="131">
        <v>137.5</v>
      </c>
      <c r="D18" s="131">
        <f>ROUNDUP(SUM(B18/12)*10,2)</f>
        <v>125</v>
      </c>
      <c r="E18" s="131">
        <f>ROUNDUP(SUM(B18/12)*9,2)</f>
        <v>112.5</v>
      </c>
      <c r="F18" s="131">
        <f>ROUNDUP(SUM(B18/12)*8,2)</f>
        <v>100</v>
      </c>
      <c r="G18" s="131">
        <f>ROUNDUP(SUM(B18/12)*7,2)</f>
        <v>87.5</v>
      </c>
      <c r="H18" s="131">
        <f>ROUNDUP(SUM(B18/12)*6,2)</f>
        <v>75</v>
      </c>
      <c r="I18" s="131">
        <f>ROUNDUP(SUM(B18/12)*5,2)</f>
        <v>62.5</v>
      </c>
      <c r="J18" s="131">
        <f>ROUNDUP(SUM(B18/12)*4,2)</f>
        <v>50</v>
      </c>
      <c r="K18" s="131">
        <f>ROUNDUP(SUM(B18/12)*3,2)</f>
        <v>37.5</v>
      </c>
      <c r="L18" s="131">
        <f>ROUNDUP(SUM(B18/12)*2,2)</f>
        <v>25</v>
      </c>
      <c r="M18" s="171">
        <f>ROUNDUP(SUM(B18/12)*1,2)</f>
        <v>12.5</v>
      </c>
    </row>
    <row r="19" spans="1:13" ht="17.25" customHeight="1" x14ac:dyDescent="0.25">
      <c r="A19" s="132" t="s">
        <v>84</v>
      </c>
      <c r="B19" s="133">
        <v>45</v>
      </c>
      <c r="C19" s="133">
        <v>45</v>
      </c>
      <c r="D19" s="133">
        <v>45</v>
      </c>
      <c r="E19" s="133">
        <v>45</v>
      </c>
      <c r="F19" s="133">
        <v>45</v>
      </c>
      <c r="G19" s="133">
        <v>45</v>
      </c>
      <c r="H19" s="133">
        <v>45</v>
      </c>
      <c r="I19" s="133">
        <v>45</v>
      </c>
      <c r="J19" s="133">
        <v>45</v>
      </c>
      <c r="K19" s="133">
        <v>45</v>
      </c>
      <c r="L19" s="133">
        <v>45</v>
      </c>
      <c r="M19" s="172">
        <v>45</v>
      </c>
    </row>
    <row r="20" spans="1:13" ht="19.5" x14ac:dyDescent="0.25">
      <c r="A20" s="134" t="s">
        <v>85</v>
      </c>
      <c r="B20" s="135">
        <v>150</v>
      </c>
      <c r="C20" s="135">
        <f>ROUNDUP(SUM((B20)/12)*11,2)</f>
        <v>137.5</v>
      </c>
      <c r="D20" s="135">
        <f>ROUNDUP(SUM((B20)/12)*10,2)</f>
        <v>125</v>
      </c>
      <c r="E20" s="135">
        <f>ROUNDUP(SUM((B20)/12)*9,2)</f>
        <v>112.5</v>
      </c>
      <c r="F20" s="135">
        <f>ROUNDUP(SUM((B20)/12)*8,2)</f>
        <v>100</v>
      </c>
      <c r="G20" s="135">
        <f>ROUNDUP(SUM((B20)/12)*7,2)</f>
        <v>87.5</v>
      </c>
      <c r="H20" s="135">
        <f>ROUNDUP(SUM((B20)/12)*6,2)</f>
        <v>75</v>
      </c>
      <c r="I20" s="135">
        <f>ROUNDUP(SUM((B20)/12)*5,2)</f>
        <v>62.5</v>
      </c>
      <c r="J20" s="135">
        <f>ROUNDUP(SUM((B20)/12)*4,2)</f>
        <v>50</v>
      </c>
      <c r="K20" s="135">
        <f>ROUNDUP(SUM((B20)/12)*3,2)</f>
        <v>37.5</v>
      </c>
      <c r="L20" s="135">
        <f>ROUNDUP(SUM((B20)/12)*2,2)</f>
        <v>25</v>
      </c>
      <c r="M20" s="173">
        <f>ROUNDUP(SUM((B20)/12)*1,2)</f>
        <v>12.5</v>
      </c>
    </row>
    <row r="21" spans="1:13" ht="19.5" x14ac:dyDescent="0.3">
      <c r="A21" s="136" t="s">
        <v>89</v>
      </c>
      <c r="B21" s="137">
        <f t="shared" ref="B21:M21" si="1">SUM(B17:B20)</f>
        <v>705</v>
      </c>
      <c r="C21" s="137">
        <f>SUM(C17:C20)</f>
        <v>650</v>
      </c>
      <c r="D21" s="137">
        <f t="shared" si="1"/>
        <v>595</v>
      </c>
      <c r="E21" s="137">
        <f t="shared" si="1"/>
        <v>540</v>
      </c>
      <c r="F21" s="137">
        <f t="shared" si="1"/>
        <v>485</v>
      </c>
      <c r="G21" s="137">
        <f t="shared" si="1"/>
        <v>430</v>
      </c>
      <c r="H21" s="137">
        <f t="shared" si="1"/>
        <v>375</v>
      </c>
      <c r="I21" s="137">
        <f t="shared" si="1"/>
        <v>320</v>
      </c>
      <c r="J21" s="137">
        <f t="shared" si="1"/>
        <v>265</v>
      </c>
      <c r="K21" s="137">
        <f t="shared" si="1"/>
        <v>210</v>
      </c>
      <c r="L21" s="137">
        <f t="shared" si="1"/>
        <v>155</v>
      </c>
      <c r="M21" s="174">
        <f t="shared" si="1"/>
        <v>100</v>
      </c>
    </row>
    <row r="22" spans="1:13" ht="18.75" customHeight="1" x14ac:dyDescent="0.25">
      <c r="A22" s="130" t="s">
        <v>90</v>
      </c>
      <c r="B22" s="138">
        <v>100</v>
      </c>
      <c r="C22" s="138">
        <v>100</v>
      </c>
      <c r="D22" s="138">
        <v>100</v>
      </c>
      <c r="E22" s="138">
        <v>100</v>
      </c>
      <c r="F22" s="138">
        <v>100</v>
      </c>
      <c r="G22" s="138">
        <v>100</v>
      </c>
      <c r="H22" s="138">
        <v>100</v>
      </c>
      <c r="I22" s="138">
        <v>100</v>
      </c>
      <c r="J22" s="138">
        <v>100</v>
      </c>
      <c r="K22" s="138">
        <v>100</v>
      </c>
      <c r="L22" s="138">
        <v>100</v>
      </c>
      <c r="M22" s="172">
        <v>100</v>
      </c>
    </row>
    <row r="23" spans="1:13" ht="20.25" thickBot="1" x14ac:dyDescent="0.3">
      <c r="A23" s="139" t="s">
        <v>91</v>
      </c>
      <c r="B23" s="140">
        <f t="shared" ref="B23:M23" si="2">SUM(B21+B22)</f>
        <v>805</v>
      </c>
      <c r="C23" s="140">
        <f t="shared" si="2"/>
        <v>750</v>
      </c>
      <c r="D23" s="140">
        <f t="shared" si="2"/>
        <v>695</v>
      </c>
      <c r="E23" s="140">
        <f t="shared" si="2"/>
        <v>640</v>
      </c>
      <c r="F23" s="140">
        <f t="shared" si="2"/>
        <v>585</v>
      </c>
      <c r="G23" s="140">
        <f t="shared" si="2"/>
        <v>530</v>
      </c>
      <c r="H23" s="140">
        <f t="shared" si="2"/>
        <v>475</v>
      </c>
      <c r="I23" s="140">
        <f t="shared" si="2"/>
        <v>420</v>
      </c>
      <c r="J23" s="140">
        <f t="shared" si="2"/>
        <v>365</v>
      </c>
      <c r="K23" s="140">
        <f t="shared" si="2"/>
        <v>310</v>
      </c>
      <c r="L23" s="140">
        <f t="shared" si="2"/>
        <v>255</v>
      </c>
      <c r="M23" s="175">
        <f t="shared" si="2"/>
        <v>200</v>
      </c>
    </row>
    <row r="24" spans="1:13" ht="19.5" customHeight="1" x14ac:dyDescent="0.25">
      <c r="A24" s="176" t="s">
        <v>92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8"/>
    </row>
    <row r="25" spans="1:13" ht="15" customHeight="1" x14ac:dyDescent="0.25">
      <c r="A25" s="162"/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4"/>
    </row>
    <row r="26" spans="1:13" ht="20.25" thickBot="1" x14ac:dyDescent="0.35">
      <c r="A26" s="179" t="s">
        <v>101</v>
      </c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1"/>
    </row>
    <row r="27" spans="1:13" ht="20.25" thickBot="1" x14ac:dyDescent="0.3">
      <c r="A27" s="195" t="s">
        <v>96</v>
      </c>
      <c r="B27" s="94" t="s">
        <v>4</v>
      </c>
      <c r="C27" s="94" t="s">
        <v>5</v>
      </c>
      <c r="D27" s="94" t="s">
        <v>6</v>
      </c>
      <c r="E27" s="94" t="s">
        <v>7</v>
      </c>
      <c r="F27" s="94" t="s">
        <v>8</v>
      </c>
      <c r="G27" s="94" t="s">
        <v>9</v>
      </c>
      <c r="H27" s="94" t="s">
        <v>10</v>
      </c>
      <c r="I27" s="94" t="s">
        <v>80</v>
      </c>
      <c r="J27" s="94" t="s">
        <v>12</v>
      </c>
      <c r="K27" s="94" t="s">
        <v>81</v>
      </c>
      <c r="L27" s="94" t="s">
        <v>14</v>
      </c>
      <c r="M27" s="182" t="s">
        <v>15</v>
      </c>
    </row>
    <row r="28" spans="1:13" ht="19.5" x14ac:dyDescent="0.25">
      <c r="A28" s="183" t="s">
        <v>97</v>
      </c>
      <c r="B28" s="193">
        <v>360</v>
      </c>
      <c r="C28" s="193">
        <v>330</v>
      </c>
      <c r="D28" s="193">
        <v>300</v>
      </c>
      <c r="E28" s="193">
        <v>270</v>
      </c>
      <c r="F28" s="193">
        <v>240</v>
      </c>
      <c r="G28" s="193">
        <v>210</v>
      </c>
      <c r="H28" s="193">
        <v>180</v>
      </c>
      <c r="I28" s="193">
        <v>150</v>
      </c>
      <c r="J28" s="193">
        <v>120</v>
      </c>
      <c r="K28" s="193">
        <v>90</v>
      </c>
      <c r="L28" s="193">
        <v>60</v>
      </c>
      <c r="M28" s="194">
        <v>30</v>
      </c>
    </row>
    <row r="29" spans="1:13" ht="15" customHeight="1" thickBot="1" x14ac:dyDescent="0.35">
      <c r="A29" s="184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85"/>
    </row>
    <row r="30" spans="1:13" ht="20.25" thickBot="1" x14ac:dyDescent="0.35">
      <c r="A30" s="186" t="s">
        <v>102</v>
      </c>
      <c r="B30" s="201"/>
      <c r="C30" s="202"/>
      <c r="D30" s="202"/>
      <c r="E30" s="202"/>
      <c r="F30" s="202"/>
      <c r="G30" s="202"/>
      <c r="H30" s="202"/>
      <c r="I30" s="202"/>
      <c r="J30" s="202"/>
      <c r="K30" s="202"/>
      <c r="L30" s="202"/>
      <c r="M30" s="203"/>
    </row>
    <row r="31" spans="1:13" ht="19.5" x14ac:dyDescent="0.25">
      <c r="A31" s="199"/>
      <c r="B31" s="200" t="s">
        <v>4</v>
      </c>
      <c r="C31" s="200" t="s">
        <v>5</v>
      </c>
      <c r="D31" s="200" t="s">
        <v>6</v>
      </c>
      <c r="E31" s="200" t="s">
        <v>7</v>
      </c>
      <c r="F31" s="200" t="s">
        <v>8</v>
      </c>
      <c r="G31" s="200" t="s">
        <v>9</v>
      </c>
      <c r="H31" s="200" t="s">
        <v>10</v>
      </c>
      <c r="I31" s="200" t="s">
        <v>80</v>
      </c>
      <c r="J31" s="200" t="s">
        <v>12</v>
      </c>
      <c r="K31" s="200" t="s">
        <v>81</v>
      </c>
      <c r="L31" s="200" t="s">
        <v>14</v>
      </c>
      <c r="M31" s="200" t="s">
        <v>15</v>
      </c>
    </row>
    <row r="32" spans="1:13" ht="19.5" x14ac:dyDescent="0.3">
      <c r="A32" s="187" t="s">
        <v>93</v>
      </c>
      <c r="B32" s="95">
        <v>150</v>
      </c>
      <c r="C32" s="95">
        <v>137.5</v>
      </c>
      <c r="D32" s="95">
        <v>125</v>
      </c>
      <c r="E32" s="95">
        <v>112.5</v>
      </c>
      <c r="F32" s="95">
        <v>100</v>
      </c>
      <c r="G32" s="95">
        <v>87.5</v>
      </c>
      <c r="H32" s="95">
        <v>75</v>
      </c>
      <c r="I32" s="95">
        <v>62.5</v>
      </c>
      <c r="J32" s="95">
        <v>50</v>
      </c>
      <c r="K32" s="95">
        <v>37.5</v>
      </c>
      <c r="L32" s="95">
        <v>25</v>
      </c>
      <c r="M32" s="188">
        <v>12.5</v>
      </c>
    </row>
    <row r="33" spans="1:14" ht="19.5" x14ac:dyDescent="0.3">
      <c r="A33" s="189" t="s">
        <v>98</v>
      </c>
      <c r="B33" s="96">
        <v>75</v>
      </c>
      <c r="C33" s="96">
        <v>75</v>
      </c>
      <c r="D33" s="96">
        <v>75</v>
      </c>
      <c r="E33" s="96">
        <v>75</v>
      </c>
      <c r="F33" s="96">
        <v>75</v>
      </c>
      <c r="G33" s="96">
        <v>75</v>
      </c>
      <c r="H33" s="96">
        <v>75</v>
      </c>
      <c r="I33" s="96">
        <v>75</v>
      </c>
      <c r="J33" s="96">
        <v>75</v>
      </c>
      <c r="K33" s="96">
        <v>75</v>
      </c>
      <c r="L33" s="96">
        <v>75</v>
      </c>
      <c r="M33" s="96">
        <v>75</v>
      </c>
    </row>
    <row r="34" spans="1:14" ht="17.25" customHeight="1" x14ac:dyDescent="0.3">
      <c r="A34" s="213" t="s">
        <v>94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196"/>
      <c r="N34" s="205"/>
    </row>
    <row r="35" spans="1:14" ht="18.75" x14ac:dyDescent="0.3">
      <c r="A35" s="20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197"/>
      <c r="N35" s="205"/>
    </row>
    <row r="36" spans="1:14" ht="18.75" x14ac:dyDescent="0.3">
      <c r="A36" s="207"/>
      <c r="B36" s="35"/>
      <c r="C36" s="35"/>
      <c r="D36" s="35"/>
      <c r="E36" s="190"/>
      <c r="F36" s="190"/>
      <c r="G36" s="190"/>
      <c r="H36" s="191"/>
      <c r="I36" s="35"/>
      <c r="J36" s="35"/>
      <c r="K36" s="35"/>
      <c r="L36" s="190"/>
      <c r="M36" s="197"/>
    </row>
    <row r="37" spans="1:14" ht="18.75" x14ac:dyDescent="0.3">
      <c r="A37" s="208"/>
      <c r="B37" s="191"/>
      <c r="C37" s="35"/>
      <c r="D37" s="35"/>
      <c r="E37" s="190"/>
      <c r="F37" s="190"/>
      <c r="G37" s="190"/>
      <c r="H37" s="191"/>
      <c r="I37" s="35"/>
      <c r="J37" s="35"/>
      <c r="K37" s="35"/>
      <c r="L37" s="190"/>
      <c r="M37" s="197"/>
    </row>
    <row r="38" spans="1:14" ht="18.75" x14ac:dyDescent="0.3">
      <c r="A38" s="208"/>
      <c r="B38" s="191"/>
      <c r="C38" s="192"/>
      <c r="D38" s="35"/>
      <c r="E38" s="190"/>
      <c r="F38" s="190"/>
      <c r="G38" s="190"/>
      <c r="H38" s="191"/>
      <c r="I38" s="35"/>
      <c r="J38" s="35"/>
      <c r="K38" s="35"/>
      <c r="L38" s="190"/>
      <c r="M38" s="197"/>
    </row>
    <row r="39" spans="1:14" ht="18.75" x14ac:dyDescent="0.3">
      <c r="A39" s="208"/>
      <c r="B39" s="192"/>
      <c r="C39" s="191"/>
      <c r="D39" s="35"/>
      <c r="E39" s="190"/>
      <c r="F39" s="190"/>
      <c r="G39" s="190"/>
      <c r="H39" s="209"/>
      <c r="I39" s="35"/>
      <c r="J39" s="35"/>
      <c r="K39" s="35"/>
      <c r="L39" s="190"/>
      <c r="M39" s="198"/>
    </row>
    <row r="40" spans="1:14" ht="15.75" x14ac:dyDescent="0.25">
      <c r="A40" s="6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</row>
  </sheetData>
  <mergeCells count="7">
    <mergeCell ref="A26:M26"/>
    <mergeCell ref="A1:M1"/>
    <mergeCell ref="A2:M2"/>
    <mergeCell ref="A5:M5"/>
    <mergeCell ref="A12:M12"/>
    <mergeCell ref="A15:M15"/>
    <mergeCell ref="A24:M24"/>
  </mergeCells>
  <pageMargins left="0.25" right="0.25" top="0.75" bottom="0.75" header="0.3" footer="0.3"/>
  <pageSetup paperSize="5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F005C-854D-4AE5-A1E5-486D0EC962DB}">
  <dimension ref="A1"/>
  <sheetViews>
    <sheetView topLeftCell="A31"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C3843-FC5E-4AE2-BAA8-2A6ADBD885B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A7890F5B12CD4FB24484CB283501FC" ma:contentTypeVersion="13" ma:contentTypeDescription="Create a new document." ma:contentTypeScope="" ma:versionID="d7917cd8c1d8a531f45f31e3ee973c7d">
  <xsd:schema xmlns:xsd="http://www.w3.org/2001/XMLSchema" xmlns:xs="http://www.w3.org/2001/XMLSchema" xmlns:p="http://schemas.microsoft.com/office/2006/metadata/properties" xmlns:ns2="a7bacd6a-db79-4386-811a-c1ad1726aaa9" xmlns:ns3="eec3eef1-9eca-455f-a900-51e11ca59436" targetNamespace="http://schemas.microsoft.com/office/2006/metadata/properties" ma:root="true" ma:fieldsID="9aba5f9a9ed3c3ce67e4db0f3cfff198" ns2:_="" ns3:_="">
    <xsd:import namespace="a7bacd6a-db79-4386-811a-c1ad1726aaa9"/>
    <xsd:import namespace="eec3eef1-9eca-455f-a900-51e11ca594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bacd6a-db79-4386-811a-c1ad1726aa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3eef1-9eca-455f-a900-51e11ca5943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0D95AC-BBBA-402C-B615-7B426BF673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0480125-2B79-4053-B5E5-D64F09EBF1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bacd6a-db79-4386-811a-c1ad1726aaa9"/>
    <ds:schemaRef ds:uri="eec3eef1-9eca-455f-a900-51e11ca594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470489-81B4-4272-B794-9E86539F3F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2015 Dues Schedule</vt:lpstr>
      <vt:lpstr>Projected 2016 Dues Schedule</vt:lpstr>
      <vt:lpstr>2014 Dues Schedule</vt:lpstr>
      <vt:lpstr>2013 Dues Schedule</vt:lpstr>
      <vt:lpstr>Affiliate</vt:lpstr>
      <vt:lpstr>2023</vt:lpstr>
      <vt:lpstr>Sheet1</vt:lpstr>
      <vt:lpstr>Sheet2</vt:lpstr>
      <vt:lpstr>'2013 Dues Schedule'!Print_Area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Soren Dorius</dc:creator>
  <cp:keywords/>
  <dc:description/>
  <cp:lastModifiedBy>Soren Dorious</cp:lastModifiedBy>
  <cp:revision/>
  <cp:lastPrinted>2022-08-24T12:47:17Z</cp:lastPrinted>
  <dcterms:created xsi:type="dcterms:W3CDTF">2011-07-12T13:16:45Z</dcterms:created>
  <dcterms:modified xsi:type="dcterms:W3CDTF">2023-03-13T19:33:45Z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0x0101008EA7890F5B12CD4FB24484CB283501FC</vt:lpwstr>
  </property>
</Properties>
</file>